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-15" yWindow="-15" windowWidth="17400" windowHeight="13080" tabRatio="714"/>
  </bookViews>
  <sheets>
    <sheet name="Operating Budget" sheetId="1" r:id="rId1"/>
    <sheet name="Financial Budget" sheetId="3" r:id="rId2"/>
    <sheet name="Cash Budget SupportingSchedules" sheetId="2" r:id="rId3"/>
  </sheets>
  <calcPr calcId="145621" concurrentCalc="0"/>
</workbook>
</file>

<file path=xl/calcChain.xml><?xml version="1.0" encoding="utf-8"?>
<calcChain xmlns="http://schemas.openxmlformats.org/spreadsheetml/2006/main">
  <c r="G34" i="3" l="1"/>
  <c r="E34" i="3"/>
  <c r="D34" i="3"/>
  <c r="E35" i="3"/>
  <c r="F34" i="3"/>
  <c r="F35" i="3"/>
  <c r="G35" i="3"/>
  <c r="D35" i="3"/>
  <c r="E29" i="3"/>
  <c r="F29" i="3"/>
  <c r="G29" i="3"/>
  <c r="D29" i="3"/>
  <c r="G66" i="1"/>
  <c r="F66" i="1"/>
  <c r="E66" i="1"/>
  <c r="F62" i="1"/>
  <c r="G62" i="1"/>
  <c r="E62" i="1"/>
  <c r="D62" i="1"/>
  <c r="D65" i="1"/>
  <c r="E65" i="1"/>
  <c r="F65" i="1"/>
  <c r="G65" i="1"/>
  <c r="D67" i="1"/>
  <c r="E67" i="1"/>
  <c r="F67" i="1"/>
  <c r="G67" i="1"/>
  <c r="D69" i="1"/>
  <c r="E69" i="1"/>
  <c r="F69" i="1"/>
  <c r="G69" i="1"/>
  <c r="C5" i="2"/>
  <c r="D6" i="1"/>
  <c r="C7" i="2"/>
  <c r="C17" i="2"/>
  <c r="D5" i="3"/>
  <c r="D6" i="3"/>
  <c r="D11" i="1"/>
  <c r="D13" i="1"/>
  <c r="D15" i="1"/>
  <c r="D20" i="1"/>
  <c r="D22" i="1"/>
  <c r="E11" i="1"/>
  <c r="E13" i="1"/>
  <c r="E14" i="1"/>
  <c r="E15" i="1"/>
  <c r="E20" i="1"/>
  <c r="E22" i="1"/>
  <c r="D23" i="1"/>
  <c r="D24" i="1"/>
  <c r="D26" i="1"/>
  <c r="D28" i="1"/>
  <c r="C33" i="2"/>
  <c r="C43" i="2"/>
  <c r="D8" i="3"/>
  <c r="D33" i="1"/>
  <c r="D35" i="1"/>
  <c r="D37" i="1"/>
  <c r="D9" i="3"/>
  <c r="D42" i="1"/>
  <c r="D44" i="1"/>
  <c r="D46" i="1"/>
  <c r="C57" i="2"/>
  <c r="C59" i="2"/>
  <c r="D10" i="3"/>
  <c r="D74" i="1"/>
  <c r="D76" i="1"/>
  <c r="D78" i="1"/>
  <c r="C64" i="2"/>
  <c r="C66" i="2"/>
  <c r="D11" i="3"/>
  <c r="D14" i="3"/>
  <c r="D17" i="3"/>
  <c r="E4" i="3"/>
  <c r="D8" i="2"/>
  <c r="E6" i="1"/>
  <c r="D10" i="2"/>
  <c r="D17" i="2"/>
  <c r="E5" i="3"/>
  <c r="E6" i="3"/>
  <c r="D34" i="2"/>
  <c r="F11" i="1"/>
  <c r="F13" i="1"/>
  <c r="F14" i="1"/>
  <c r="F15" i="1"/>
  <c r="F20" i="1"/>
  <c r="F22" i="1"/>
  <c r="E23" i="1"/>
  <c r="E24" i="1"/>
  <c r="E25" i="1"/>
  <c r="E26" i="1"/>
  <c r="E28" i="1"/>
  <c r="D36" i="2"/>
  <c r="D43" i="2"/>
  <c r="E8" i="3"/>
  <c r="E33" i="1"/>
  <c r="E35" i="1"/>
  <c r="E37" i="1"/>
  <c r="E9" i="3"/>
  <c r="E42" i="1"/>
  <c r="E44" i="1"/>
  <c r="E46" i="1"/>
  <c r="D57" i="2"/>
  <c r="D59" i="2"/>
  <c r="E10" i="3"/>
  <c r="E74" i="1"/>
  <c r="E76" i="1"/>
  <c r="E78" i="1"/>
  <c r="D64" i="2"/>
  <c r="D66" i="2"/>
  <c r="E11" i="3"/>
  <c r="E14" i="3"/>
  <c r="E17" i="3"/>
  <c r="F4" i="3"/>
  <c r="E11" i="2"/>
  <c r="F6" i="1"/>
  <c r="E13" i="2"/>
  <c r="E17" i="2"/>
  <c r="F5" i="3"/>
  <c r="F6" i="3"/>
  <c r="E37" i="2"/>
  <c r="G11" i="1"/>
  <c r="G13" i="1"/>
  <c r="G14" i="1"/>
  <c r="G15" i="1"/>
  <c r="G20" i="1"/>
  <c r="G22" i="1"/>
  <c r="F23" i="1"/>
  <c r="F24" i="1"/>
  <c r="F25" i="1"/>
  <c r="F26" i="1"/>
  <c r="F28" i="1"/>
  <c r="E39" i="2"/>
  <c r="E43" i="2"/>
  <c r="F8" i="3"/>
  <c r="F33" i="1"/>
  <c r="F35" i="1"/>
  <c r="F37" i="1"/>
  <c r="F9" i="3"/>
  <c r="F42" i="1"/>
  <c r="F44" i="1"/>
  <c r="F46" i="1"/>
  <c r="E57" i="2"/>
  <c r="E59" i="2"/>
  <c r="F10" i="3"/>
  <c r="F74" i="1"/>
  <c r="F76" i="1"/>
  <c r="F78" i="1"/>
  <c r="E64" i="2"/>
  <c r="E66" i="2"/>
  <c r="F11" i="3"/>
  <c r="F14" i="3"/>
  <c r="F17" i="3"/>
  <c r="G4" i="3"/>
  <c r="F14" i="2"/>
  <c r="G6" i="1"/>
  <c r="F16" i="2"/>
  <c r="F17" i="2"/>
  <c r="G5" i="3"/>
  <c r="G6" i="3"/>
  <c r="F40" i="2"/>
  <c r="G24" i="1"/>
  <c r="G25" i="1"/>
  <c r="G26" i="1"/>
  <c r="G28" i="1"/>
  <c r="F42" i="2"/>
  <c r="F43" i="2"/>
  <c r="G8" i="3"/>
  <c r="G33" i="1"/>
  <c r="G35" i="1"/>
  <c r="G37" i="1"/>
  <c r="G9" i="3"/>
  <c r="G42" i="1"/>
  <c r="G44" i="1"/>
  <c r="G46" i="1"/>
  <c r="F57" i="2"/>
  <c r="F59" i="2"/>
  <c r="G10" i="3"/>
  <c r="G74" i="1"/>
  <c r="G76" i="1"/>
  <c r="G78" i="1"/>
  <c r="F64" i="2"/>
  <c r="F66" i="2"/>
  <c r="G11" i="3"/>
  <c r="G14" i="3"/>
  <c r="G17" i="3"/>
  <c r="G24" i="3"/>
  <c r="G25" i="3"/>
  <c r="G51" i="1"/>
  <c r="G52" i="1"/>
  <c r="G53" i="1"/>
  <c r="H4" i="1"/>
  <c r="H11" i="1"/>
  <c r="H12" i="1"/>
  <c r="H13" i="1"/>
  <c r="H14" i="1"/>
  <c r="H15" i="1"/>
  <c r="G54" i="1"/>
  <c r="G55" i="1"/>
  <c r="G56" i="1"/>
  <c r="G57" i="1"/>
  <c r="G26" i="3"/>
  <c r="F25" i="2"/>
  <c r="G27" i="3"/>
  <c r="D28" i="3"/>
  <c r="E28" i="3"/>
  <c r="F28" i="3"/>
  <c r="G28" i="3"/>
  <c r="F51" i="2"/>
  <c r="G32" i="3"/>
  <c r="F24" i="3"/>
  <c r="F25" i="3"/>
  <c r="F51" i="1"/>
  <c r="F52" i="1"/>
  <c r="F53" i="1"/>
  <c r="F54" i="1"/>
  <c r="F55" i="1"/>
  <c r="F56" i="1"/>
  <c r="F57" i="1"/>
  <c r="F26" i="3"/>
  <c r="E24" i="2"/>
  <c r="F27" i="3"/>
  <c r="E50" i="2"/>
  <c r="F32" i="3"/>
  <c r="E24" i="3"/>
  <c r="E25" i="3"/>
  <c r="E51" i="1"/>
  <c r="E52" i="1"/>
  <c r="E53" i="1"/>
  <c r="E54" i="1"/>
  <c r="E55" i="1"/>
  <c r="E56" i="1"/>
  <c r="E57" i="1"/>
  <c r="E26" i="3"/>
  <c r="D23" i="2"/>
  <c r="E27" i="3"/>
  <c r="D49" i="2"/>
  <c r="E32" i="3"/>
  <c r="F83" i="1"/>
  <c r="F63" i="1"/>
  <c r="F64" i="1"/>
  <c r="F68" i="1"/>
  <c r="F84" i="1"/>
  <c r="F85" i="1"/>
  <c r="F86" i="1"/>
  <c r="F87" i="1"/>
  <c r="E83" i="1"/>
  <c r="E63" i="1"/>
  <c r="E64" i="1"/>
  <c r="E68" i="1"/>
  <c r="E84" i="1"/>
  <c r="E85" i="1"/>
  <c r="E86" i="1"/>
  <c r="E87" i="1"/>
  <c r="G83" i="1"/>
  <c r="G63" i="1"/>
  <c r="G64" i="1"/>
  <c r="G68" i="1"/>
  <c r="G84" i="1"/>
  <c r="G85" i="1"/>
  <c r="G86" i="1"/>
  <c r="G87" i="1"/>
  <c r="H6" i="1"/>
  <c r="H83" i="1"/>
  <c r="H62" i="1"/>
  <c r="H33" i="1"/>
  <c r="H35" i="1"/>
  <c r="H37" i="1"/>
  <c r="H63" i="1"/>
  <c r="H42" i="1"/>
  <c r="H44" i="1"/>
  <c r="H46" i="1"/>
  <c r="H64" i="1"/>
  <c r="H65" i="1"/>
  <c r="D66" i="1"/>
  <c r="H66" i="1"/>
  <c r="H67" i="1"/>
  <c r="H68" i="1"/>
  <c r="H69" i="1"/>
  <c r="H84" i="1"/>
  <c r="H85" i="1"/>
  <c r="H74" i="1"/>
  <c r="H76" i="1"/>
  <c r="H77" i="1"/>
  <c r="H78" i="1"/>
  <c r="H86" i="1"/>
  <c r="H87" i="1"/>
  <c r="D83" i="1"/>
  <c r="D63" i="1"/>
  <c r="D64" i="1"/>
  <c r="D68" i="1"/>
  <c r="D84" i="1"/>
  <c r="D85" i="1"/>
  <c r="D86" i="1"/>
  <c r="D87" i="1"/>
  <c r="C48" i="2"/>
  <c r="D32" i="3"/>
  <c r="D24" i="3"/>
  <c r="D25" i="3"/>
  <c r="D51" i="1"/>
  <c r="D52" i="1"/>
  <c r="D53" i="1"/>
  <c r="D54" i="1"/>
  <c r="D55" i="1"/>
  <c r="D56" i="1"/>
  <c r="D57" i="1"/>
  <c r="D26" i="3"/>
  <c r="C22" i="2"/>
  <c r="D27" i="3"/>
  <c r="E15" i="3"/>
  <c r="F15" i="3"/>
  <c r="G15" i="3"/>
  <c r="D15" i="3"/>
  <c r="H20" i="1"/>
  <c r="H22" i="1"/>
  <c r="H23" i="1"/>
  <c r="H24" i="1"/>
  <c r="H25" i="1"/>
  <c r="H26" i="1"/>
  <c r="H28" i="1"/>
</calcChain>
</file>

<file path=xl/sharedStrings.xml><?xml version="1.0" encoding="utf-8"?>
<sst xmlns="http://schemas.openxmlformats.org/spreadsheetml/2006/main" count="245" uniqueCount="151">
  <si>
    <t>Quarter 1</t>
    <phoneticPr fontId="6" type="noConversion"/>
  </si>
  <si>
    <t>+</t>
    <phoneticPr fontId="6" type="noConversion"/>
  </si>
  <si>
    <t>-</t>
    <phoneticPr fontId="6" type="noConversion"/>
  </si>
  <si>
    <t>COGS</t>
    <phoneticPr fontId="6" type="noConversion"/>
  </si>
  <si>
    <t>DL</t>
    <phoneticPr fontId="6" type="noConversion"/>
  </si>
  <si>
    <t>Total Current Mfg Costs</t>
    <phoneticPr fontId="6" type="noConversion"/>
  </si>
  <si>
    <t>Goods Available for Sale</t>
    <phoneticPr fontId="6" type="noConversion"/>
  </si>
  <si>
    <t>End FG Inventory</t>
    <phoneticPr fontId="6" type="noConversion"/>
  </si>
  <si>
    <t>Cash Disbursements for Selling &amp; Administrative Expenses</t>
    <phoneticPr fontId="6" type="noConversion"/>
  </si>
  <si>
    <t>Total Selling &amp; Admin. Expenses</t>
    <phoneticPr fontId="6" type="noConversion"/>
  </si>
  <si>
    <t>Total Payments for S&amp;A</t>
    <phoneticPr fontId="6" type="noConversion"/>
  </si>
  <si>
    <t>Direct Labor Budget</t>
    <phoneticPr fontId="6" type="noConversion"/>
  </si>
  <si>
    <t>DL Cost</t>
    <phoneticPr fontId="6" type="noConversion"/>
  </si>
  <si>
    <t>Overhead Budget</t>
    <phoneticPr fontId="6" type="noConversion"/>
  </si>
  <si>
    <t>VOH</t>
    <phoneticPr fontId="6" type="noConversion"/>
  </si>
  <si>
    <t>+</t>
    <phoneticPr fontId="6" type="noConversion"/>
  </si>
  <si>
    <t>($18,648,000 * 50%)</t>
    <phoneticPr fontId="6" type="noConversion"/>
  </si>
  <si>
    <t>($18,648,000 * 50%)</t>
    <phoneticPr fontId="6" type="noConversion"/>
  </si>
  <si>
    <t>Quarter 2</t>
    <phoneticPr fontId="6" type="noConversion"/>
  </si>
  <si>
    <t>($17,856,000 * 50%)</t>
    <phoneticPr fontId="6" type="noConversion"/>
  </si>
  <si>
    <t>Quarter 3</t>
    <phoneticPr fontId="6" type="noConversion"/>
  </si>
  <si>
    <t>Quarter 4</t>
    <phoneticPr fontId="6" type="noConversion"/>
  </si>
  <si>
    <t>($19,200,000 * 50%)</t>
    <phoneticPr fontId="6" type="noConversion"/>
  </si>
  <si>
    <t>($18,696,000 * 50%)</t>
    <phoneticPr fontId="6" type="noConversion"/>
  </si>
  <si>
    <t>Total Payments</t>
    <phoneticPr fontId="6" type="noConversion"/>
  </si>
  <si>
    <t>Cash Disbursements for Overhead</t>
    <phoneticPr fontId="6" type="noConversion"/>
  </si>
  <si>
    <t>Total OH</t>
    <phoneticPr fontId="6" type="noConversion"/>
  </si>
  <si>
    <t>Total Payments for OH</t>
    <phoneticPr fontId="6" type="noConversion"/>
  </si>
  <si>
    <t>Accounts Payable Schedule</t>
    <phoneticPr fontId="6" type="noConversion"/>
  </si>
  <si>
    <t>Quarter 2: ($17,856,000*50%)</t>
    <phoneticPr fontId="6" type="noConversion"/>
  </si>
  <si>
    <t>Quarter 1: ($18,648,000*50%)</t>
    <phoneticPr fontId="6" type="noConversion"/>
  </si>
  <si>
    <t>Quarter 3: ($19,200,000*50%)</t>
    <phoneticPr fontId="6" type="noConversion"/>
  </si>
  <si>
    <t>Quarter 4: ($18,696,000*50%)</t>
    <phoneticPr fontId="6" type="noConversion"/>
  </si>
  <si>
    <t>Collections</t>
    <phoneticPr fontId="6" type="noConversion"/>
  </si>
  <si>
    <t>Available Cash</t>
    <phoneticPr fontId="6" type="noConversion"/>
  </si>
  <si>
    <t>Disbursements:</t>
    <phoneticPr fontId="6" type="noConversion"/>
  </si>
  <si>
    <t>OH</t>
    <phoneticPr fontId="6" type="noConversion"/>
  </si>
  <si>
    <t>S&amp;A</t>
    <phoneticPr fontId="6" type="noConversion"/>
  </si>
  <si>
    <t>Cash Needs</t>
    <phoneticPr fontId="6" type="noConversion"/>
  </si>
  <si>
    <t>Total Collections</t>
    <phoneticPr fontId="6" type="noConversion"/>
  </si>
  <si>
    <t>($28,000,000 * 85%)</t>
    <phoneticPr fontId="6" type="noConversion"/>
  </si>
  <si>
    <t>($26,000,000 * 85%)</t>
    <phoneticPr fontId="6" type="noConversion"/>
  </si>
  <si>
    <t>($26,000,000 * 15%)</t>
    <phoneticPr fontId="6" type="noConversion"/>
  </si>
  <si>
    <t>($28,000,000 * 15%)</t>
    <phoneticPr fontId="6" type="noConversion"/>
  </si>
  <si>
    <t>Accounts Receivable Schedule</t>
    <phoneticPr fontId="6" type="noConversion"/>
  </si>
  <si>
    <t>End Quarter 1</t>
    <phoneticPr fontId="6" type="noConversion"/>
  </si>
  <si>
    <t>End Quarter 2</t>
    <phoneticPr fontId="6" type="noConversion"/>
  </si>
  <si>
    <t>End Quarter 3</t>
    <phoneticPr fontId="6" type="noConversion"/>
  </si>
  <si>
    <t>End Quarter 4</t>
    <phoneticPr fontId="6" type="noConversion"/>
  </si>
  <si>
    <t>Quarter 1: ($26,000,000*15%)</t>
    <phoneticPr fontId="6" type="noConversion"/>
  </si>
  <si>
    <t>Quarter 2: ($28,000,000*15%)</t>
    <phoneticPr fontId="6" type="noConversion"/>
  </si>
  <si>
    <t>Quarter 3: ($30,000,000*15%)</t>
    <phoneticPr fontId="6" type="noConversion"/>
  </si>
  <si>
    <t>Quarter 4: ($36,000,000*15%)</t>
    <phoneticPr fontId="6" type="noConversion"/>
  </si>
  <si>
    <t>($30,000,000 * 85%)</t>
    <phoneticPr fontId="6" type="noConversion"/>
  </si>
  <si>
    <t>($30,000,000 * 15%)</t>
    <phoneticPr fontId="6" type="noConversion"/>
  </si>
  <si>
    <t>($36,000,000 * 85%)</t>
    <phoneticPr fontId="6" type="noConversion"/>
  </si>
  <si>
    <t>Ending FG Inventory Budget</t>
    <phoneticPr fontId="6" type="noConversion"/>
  </si>
  <si>
    <t>Quarter 1</t>
    <phoneticPr fontId="6" type="noConversion"/>
  </si>
  <si>
    <t>Quarter 2</t>
    <phoneticPr fontId="6" type="noConversion"/>
  </si>
  <si>
    <t>Quarter 3</t>
    <phoneticPr fontId="6" type="noConversion"/>
  </si>
  <si>
    <t>Quarter 4</t>
    <phoneticPr fontId="6" type="noConversion"/>
  </si>
  <si>
    <t>Total</t>
    <phoneticPr fontId="6" type="noConversion"/>
  </si>
  <si>
    <t>-----</t>
    <phoneticPr fontId="6" type="noConversion"/>
  </si>
  <si>
    <t>Cash Budget</t>
    <phoneticPr fontId="6" type="noConversion"/>
  </si>
  <si>
    <t>+</t>
    <phoneticPr fontId="6" type="noConversion"/>
  </si>
  <si>
    <t>-</t>
    <phoneticPr fontId="6" type="noConversion"/>
  </si>
  <si>
    <t>Variable S&amp;A</t>
    <phoneticPr fontId="6" type="noConversion"/>
  </si>
  <si>
    <t>Total S&amp;A</t>
    <phoneticPr fontId="6" type="noConversion"/>
  </si>
  <si>
    <t>X</t>
    <phoneticPr fontId="6" type="noConversion"/>
  </si>
  <si>
    <t>+</t>
    <phoneticPr fontId="6" type="noConversion"/>
  </si>
  <si>
    <t>Cash Collection Schedule</t>
    <phoneticPr fontId="6" type="noConversion"/>
  </si>
  <si>
    <t>Quarter 4, 2006</t>
    <phoneticPr fontId="6" type="noConversion"/>
  </si>
  <si>
    <t>(55,000 * $400) * 15%</t>
    <phoneticPr fontId="6" type="noConversion"/>
  </si>
  <si>
    <t>Quarter 1, 2007</t>
    <phoneticPr fontId="6" type="noConversion"/>
  </si>
  <si>
    <t>Quarter 2, 2007</t>
    <phoneticPr fontId="6" type="noConversion"/>
  </si>
  <si>
    <t>Quarter 3, 2007</t>
    <phoneticPr fontId="6" type="noConversion"/>
  </si>
  <si>
    <t>Quarter 4, 2007</t>
    <phoneticPr fontId="6" type="noConversion"/>
  </si>
  <si>
    <t>DM Cost per FG Unit</t>
    <phoneticPr fontId="6" type="noConversion"/>
  </si>
  <si>
    <t>VOH Cost per FG Unit</t>
    <phoneticPr fontId="6" type="noConversion"/>
  </si>
  <si>
    <t>FOH Cost per FG Unit</t>
    <phoneticPr fontId="6" type="noConversion"/>
  </si>
  <si>
    <t>Total Cost per FG Unit</t>
    <phoneticPr fontId="6" type="noConversion"/>
  </si>
  <si>
    <t>Sales Budget</t>
    <phoneticPr fontId="6" type="noConversion"/>
  </si>
  <si>
    <t>Production Budget</t>
    <phoneticPr fontId="6" type="noConversion"/>
  </si>
  <si>
    <t>Total Sales</t>
    <phoneticPr fontId="6" type="noConversion"/>
  </si>
  <si>
    <t>Production Needs</t>
    <phoneticPr fontId="6" type="noConversion"/>
  </si>
  <si>
    <t>Total Needs</t>
    <phoneticPr fontId="6" type="noConversion"/>
  </si>
  <si>
    <t>Units to Be Produced (UTBP)</t>
  </si>
  <si>
    <t>DM To Be Purchased</t>
  </si>
  <si>
    <t>Total Needs</t>
  </si>
  <si>
    <t>Total DLH Needs</t>
  </si>
  <si>
    <t>DM Cost</t>
  </si>
  <si>
    <t>OH Cost</t>
  </si>
  <si>
    <t>End FG Inventory Cost</t>
  </si>
  <si>
    <t>DL Cost per FG Unit</t>
  </si>
  <si>
    <t>+</t>
  </si>
  <si>
    <t>-</t>
  </si>
  <si>
    <t>x</t>
  </si>
  <si>
    <t>Selling &amp; Administrative Expenses Budget</t>
  </si>
  <si>
    <t>COGS Budget</t>
  </si>
  <si>
    <t>Direct Materials Purchases Budget</t>
  </si>
  <si>
    <t>Budgeted Income Statement</t>
  </si>
  <si>
    <t>Sales</t>
  </si>
  <si>
    <t>COGS</t>
  </si>
  <si>
    <t>Gross Margin</t>
  </si>
  <si>
    <t>S&amp;A Expenses</t>
  </si>
  <si>
    <t>Operating Income</t>
  </si>
  <si>
    <t>Cash Disbursements for Direct Materials Purchases Schedule</t>
  </si>
  <si>
    <t>DM Purchases</t>
  </si>
  <si>
    <t>Excess (Deficiency)</t>
  </si>
  <si>
    <t>Financing</t>
  </si>
  <si>
    <t>+/-</t>
  </si>
  <si>
    <t>Ending Cash</t>
  </si>
  <si>
    <t>Budgeted Balance Sheet</t>
  </si>
  <si>
    <t>Assets</t>
  </si>
  <si>
    <t>Cash</t>
  </si>
  <si>
    <t>DM Inventory</t>
  </si>
  <si>
    <t>FG Inventory</t>
  </si>
  <si>
    <t>Desired End. Inv.</t>
  </si>
  <si>
    <t>Accounts Receivable</t>
  </si>
  <si>
    <t>Plant &amp; Equip (net)</t>
  </si>
  <si>
    <t>Total Assets</t>
  </si>
  <si>
    <t>Liabilities &amp; SHE</t>
  </si>
  <si>
    <t>Accounts Payable</t>
  </si>
  <si>
    <t>Capital Stock</t>
  </si>
  <si>
    <t>Retained Earnings</t>
  </si>
  <si>
    <t>Total Liabilities &amp; SHE</t>
  </si>
  <si>
    <t xml:space="preserve">Units </t>
  </si>
  <si>
    <t xml:space="preserve">Selling Price </t>
  </si>
  <si>
    <t xml:space="preserve">Unit Sales </t>
  </si>
  <si>
    <t xml:space="preserve">Desired Ending Inventory </t>
  </si>
  <si>
    <t xml:space="preserve">Beginning Inventory </t>
  </si>
  <si>
    <t xml:space="preserve">Units to Be Produced (UTBP) </t>
  </si>
  <si>
    <t xml:space="preserve">DM per Unit </t>
  </si>
  <si>
    <t xml:space="preserve">Desired Ending Inventory (30%) </t>
  </si>
  <si>
    <t xml:space="preserve">Cost per Unit </t>
  </si>
  <si>
    <t xml:space="preserve">DL Hours per Unit </t>
  </si>
  <si>
    <t xml:space="preserve">Average Wage Rate </t>
  </si>
  <si>
    <t xml:space="preserve">DL Hours </t>
  </si>
  <si>
    <t xml:space="preserve">VOH Rate per DLH </t>
  </si>
  <si>
    <t xml:space="preserve">FOH </t>
  </si>
  <si>
    <t xml:space="preserve">DM Used </t>
  </si>
  <si>
    <t xml:space="preserve">DL </t>
  </si>
  <si>
    <t xml:space="preserve">OH </t>
  </si>
  <si>
    <t xml:space="preserve">Beginning FG Inventory </t>
  </si>
  <si>
    <t xml:space="preserve">Variable S&amp;A Rate </t>
  </si>
  <si>
    <t xml:space="preserve">Fixed S&amp;A </t>
  </si>
  <si>
    <t xml:space="preserve">Beginning Cash </t>
  </si>
  <si>
    <t xml:space="preserve">Dividends </t>
  </si>
  <si>
    <t xml:space="preserve">Equipment Purch. </t>
  </si>
  <si>
    <t xml:space="preserve">Beg. Accounts Payable </t>
  </si>
  <si>
    <t xml:space="preserve">Depreciation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</si>
</sst>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"/>
  </numFmts>
  <fonts count="7" x14ac:knownFonts="1">
    <font>
      <sz val="10"/>
      <name val="Verdana"/>
    </font>
    <font>
      <b/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1" xfId="0" applyFont="1" applyBorder="1"/>
    <xf numFmtId="0" fontId="0" fillId="0" borderId="1" xfId="0" applyBorder="1"/>
    <xf numFmtId="0" fontId="0" fillId="0" borderId="2" xfId="0" applyBorder="1"/>
    <xf numFmtId="3" fontId="0" fillId="0" borderId="2" xfId="0" applyNumberFormat="1" applyBorder="1"/>
    <xf numFmtId="0" fontId="4" fillId="0" borderId="0" xfId="0" applyFont="1" applyAlignment="1">
      <alignment horizontal="right"/>
    </xf>
    <xf numFmtId="3" fontId="0" fillId="0" borderId="1" xfId="0" applyNumberFormat="1" applyBorder="1"/>
    <xf numFmtId="0" fontId="0" fillId="0" borderId="3" xfId="0" applyBorder="1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right"/>
    </xf>
    <xf numFmtId="3" fontId="0" fillId="0" borderId="0" xfId="0" applyNumberFormat="1" applyBorder="1"/>
    <xf numFmtId="3" fontId="0" fillId="0" borderId="7" xfId="0" applyNumberFormat="1" applyBorder="1"/>
    <xf numFmtId="0" fontId="4" fillId="0" borderId="6" xfId="0" quotePrefix="1" applyFont="1" applyBorder="1" applyAlignment="1">
      <alignment horizontal="right"/>
    </xf>
    <xf numFmtId="3" fontId="0" fillId="0" borderId="8" xfId="0" applyNumberFormat="1" applyBorder="1"/>
    <xf numFmtId="0" fontId="4" fillId="0" borderId="6" xfId="0" applyFont="1" applyBorder="1" applyAlignment="1">
      <alignment horizontal="right"/>
    </xf>
    <xf numFmtId="0" fontId="0" fillId="0" borderId="0" xfId="0" applyBorder="1"/>
    <xf numFmtId="0" fontId="0" fillId="0" borderId="7" xfId="0" applyBorder="1"/>
    <xf numFmtId="0" fontId="0" fillId="0" borderId="9" xfId="0" applyBorder="1" applyAlignment="1">
      <alignment horizontal="right"/>
    </xf>
    <xf numFmtId="3" fontId="0" fillId="0" borderId="4" xfId="0" applyNumberFormat="1" applyBorder="1"/>
    <xf numFmtId="3" fontId="0" fillId="0" borderId="5" xfId="0" applyNumberFormat="1" applyBorder="1"/>
    <xf numFmtId="0" fontId="5" fillId="0" borderId="4" xfId="0" applyFont="1" applyBorder="1"/>
    <xf numFmtId="165" fontId="0" fillId="0" borderId="0" xfId="0" applyNumberFormat="1" applyBorder="1"/>
    <xf numFmtId="165" fontId="0" fillId="0" borderId="7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3" fontId="0" fillId="0" borderId="10" xfId="0" applyNumberFormat="1" applyBorder="1"/>
    <xf numFmtId="0" fontId="4" fillId="0" borderId="3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5" fillId="0" borderId="1" xfId="0" applyFont="1" applyBorder="1"/>
    <xf numFmtId="0" fontId="0" fillId="0" borderId="4" xfId="0" applyBorder="1"/>
    <xf numFmtId="165" fontId="0" fillId="0" borderId="1" xfId="0" applyNumberFormat="1" applyBorder="1"/>
    <xf numFmtId="165" fontId="0" fillId="0" borderId="10" xfId="0" applyNumberFormat="1" applyBorder="1"/>
    <xf numFmtId="165" fontId="0" fillId="0" borderId="2" xfId="0" applyNumberFormat="1" applyBorder="1"/>
    <xf numFmtId="165" fontId="0" fillId="0" borderId="8" xfId="0" applyNumberFormat="1" applyBorder="1"/>
    <xf numFmtId="0" fontId="0" fillId="0" borderId="0" xfId="0" applyAlignment="1"/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8" xfId="0" applyBorder="1"/>
    <xf numFmtId="0" fontId="2" fillId="0" borderId="6" xfId="0" quotePrefix="1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3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left" indent="2"/>
    </xf>
    <xf numFmtId="0" fontId="0" fillId="0" borderId="0" xfId="0" quotePrefix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3" fillId="0" borderId="6" xfId="0" applyFont="1" applyFill="1" applyBorder="1"/>
    <xf numFmtId="0" fontId="3" fillId="0" borderId="6" xfId="0" applyFont="1" applyFill="1" applyBorder="1" applyAlignment="1">
      <alignment horizontal="left" indent="2"/>
    </xf>
    <xf numFmtId="0" fontId="3" fillId="0" borderId="6" xfId="0" applyFont="1" applyFill="1" applyBorder="1" applyAlignment="1">
      <alignment horizontal="left"/>
    </xf>
    <xf numFmtId="0" fontId="2" fillId="0" borderId="11" xfId="0" applyFont="1" applyBorder="1"/>
    <xf numFmtId="0" fontId="2" fillId="0" borderId="2" xfId="0" applyFont="1" applyBorder="1" applyAlignment="1">
      <alignment horizontal="center"/>
    </xf>
    <xf numFmtId="165" fontId="0" fillId="0" borderId="12" xfId="0" applyNumberFormat="1" applyBorder="1"/>
    <xf numFmtId="165" fontId="0" fillId="0" borderId="13" xfId="0" applyNumberFormat="1" applyBorder="1"/>
    <xf numFmtId="0" fontId="2" fillId="0" borderId="8" xfId="0" applyFont="1" applyBorder="1" applyAlignment="1">
      <alignment horizontal="center"/>
    </xf>
    <xf numFmtId="165" fontId="0" fillId="0" borderId="14" xfId="0" applyNumberFormat="1" applyBorder="1"/>
    <xf numFmtId="0" fontId="3" fillId="0" borderId="9" xfId="0" applyFont="1" applyBorder="1"/>
    <xf numFmtId="0" fontId="3" fillId="0" borderId="6" xfId="0" applyFont="1" applyBorder="1" applyAlignment="1">
      <alignment horizontal="left"/>
    </xf>
    <xf numFmtId="0" fontId="0" fillId="0" borderId="11" xfId="0" applyBorder="1"/>
    <xf numFmtId="0" fontId="0" fillId="0" borderId="6" xfId="0" applyBorder="1"/>
    <xf numFmtId="0" fontId="0" fillId="0" borderId="9" xfId="0" applyBorder="1"/>
    <xf numFmtId="0" fontId="0" fillId="0" borderId="0" xfId="0" applyBorder="1" applyAlignment="1">
      <alignment horizontal="left" indent="1"/>
    </xf>
    <xf numFmtId="0" fontId="4" fillId="0" borderId="2" xfId="0" applyFont="1" applyBorder="1"/>
    <xf numFmtId="0" fontId="0" fillId="0" borderId="0" xfId="0" applyBorder="1" applyAlignment="1"/>
    <xf numFmtId="0" fontId="0" fillId="0" borderId="2" xfId="0" applyBorder="1" applyAlignment="1"/>
    <xf numFmtId="0" fontId="3" fillId="0" borderId="4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1" xfId="0" applyFont="1" applyBorder="1"/>
    <xf numFmtId="165" fontId="0" fillId="0" borderId="0" xfId="0" applyNumberFormat="1"/>
    <xf numFmtId="0" fontId="0" fillId="0" borderId="0" xfId="0" applyBorder="1" applyAlignment="1">
      <alignment horizontal="left"/>
    </xf>
    <xf numFmtId="0" fontId="3" fillId="0" borderId="6" xfId="0" quotePrefix="1" applyFont="1" applyBorder="1" applyAlignment="1">
      <alignment horizontal="right"/>
    </xf>
    <xf numFmtId="0" fontId="1" fillId="0" borderId="6" xfId="0" quotePrefix="1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164" fontId="0" fillId="0" borderId="0" xfId="0" applyNumberFormat="1" applyBorder="1"/>
    <xf numFmtId="164" fontId="0" fillId="0" borderId="7" xfId="0" applyNumberFormat="1" applyBorder="1"/>
    <xf numFmtId="0" fontId="3" fillId="0" borderId="2" xfId="0" applyFont="1" applyBorder="1" applyAlignment="1">
      <alignment horizontal="left"/>
    </xf>
    <xf numFmtId="4" fontId="0" fillId="0" borderId="8" xfId="0" applyNumberFormat="1" applyBorder="1"/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/>
    <xf numFmtId="0" fontId="3" fillId="0" borderId="0" xfId="0" applyFont="1" applyBorder="1" applyAlignment="1">
      <alignment horizontal="left" indent="1"/>
    </xf>
    <xf numFmtId="0" fontId="1" fillId="0" borderId="6" xfId="0" quotePrefix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Font="1" applyFill="1" applyBorder="1" applyAlignment="1"/>
    <xf numFmtId="3" fontId="0" fillId="0" borderId="0" xfId="0" quotePrefix="1" applyNumberFormat="1" applyBorder="1" applyAlignment="1">
      <alignment horizontal="center"/>
    </xf>
    <xf numFmtId="0" fontId="3" fillId="0" borderId="0" xfId="0" applyFont="1" applyFill="1" applyBorder="1" applyAlignment="1">
      <alignment horizontal="left" indent="1"/>
    </xf>
    <xf numFmtId="3" fontId="0" fillId="0" borderId="7" xfId="0" quotePrefix="1" applyNumberFormat="1" applyBorder="1" applyAlignment="1">
      <alignment horizontal="center"/>
    </xf>
    <xf numFmtId="0" fontId="1" fillId="0" borderId="6" xfId="0" applyFont="1" applyBorder="1"/>
    <xf numFmtId="0" fontId="1" fillId="0" borderId="6" xfId="0" quotePrefix="1" applyFont="1" applyBorder="1"/>
    <xf numFmtId="4" fontId="0" fillId="0" borderId="2" xfId="0" applyNumberFormat="1" applyBorder="1"/>
    <xf numFmtId="3" fontId="0" fillId="0" borderId="0" xfId="0" applyNumberFormat="1" applyBorder="1" applyAlignment="1"/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3" fontId="0" fillId="0" borderId="7" xfId="0" applyNumberForma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2" xfId="0" applyBorder="1" applyAlignment="1"/>
    <xf numFmtId="0" fontId="2" fillId="0" borderId="2" xfId="0" applyFont="1" applyBorder="1" applyAlignment="1"/>
    <xf numFmtId="0" fontId="2" fillId="0" borderId="0" xfId="0" applyFont="1" applyAlignment="1"/>
    <xf numFmtId="16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B2:I87"/>
  <sheetViews>
    <sheetView tabSelected="1" workbookViewId="0"/>
  </sheetViews>
  <sheetFormatPr defaultColWidth="11" defaultRowHeight="12.75" x14ac:dyDescent="0.2"/>
  <cols>
    <col min="1" max="1" width="2.375" customWidth="1"/>
    <col min="2" max="2" width="2.625" style="3" customWidth="1"/>
    <col min="3" max="3" width="28.375" bestFit="1" customWidth="1"/>
    <col min="4" max="7" width="11.125" bestFit="1" customWidth="1"/>
    <col min="8" max="9" width="12.125" bestFit="1" customWidth="1"/>
  </cols>
  <sheetData>
    <row r="2" spans="2:8" x14ac:dyDescent="0.2">
      <c r="B2" s="106" t="s">
        <v>81</v>
      </c>
      <c r="C2" s="106"/>
    </row>
    <row r="3" spans="2:8" x14ac:dyDescent="0.2">
      <c r="B3" s="10"/>
      <c r="C3" s="5"/>
      <c r="D3" s="11" t="s">
        <v>57</v>
      </c>
      <c r="E3" s="11" t="s">
        <v>58</v>
      </c>
      <c r="F3" s="11" t="s">
        <v>59</v>
      </c>
      <c r="G3" s="11" t="s">
        <v>60</v>
      </c>
      <c r="H3" s="12" t="s">
        <v>61</v>
      </c>
    </row>
    <row r="4" spans="2:8" x14ac:dyDescent="0.2">
      <c r="B4" s="13"/>
      <c r="C4" s="71" t="s">
        <v>126</v>
      </c>
      <c r="D4" s="14">
        <v>65000</v>
      </c>
      <c r="E4" s="14">
        <v>70000</v>
      </c>
      <c r="F4" s="14">
        <v>75000</v>
      </c>
      <c r="G4" s="14">
        <v>90000</v>
      </c>
      <c r="H4" s="15">
        <f>SUM(D4:G4)</f>
        <v>300000</v>
      </c>
    </row>
    <row r="5" spans="2:8" x14ac:dyDescent="0.2">
      <c r="B5" s="78" t="s">
        <v>96</v>
      </c>
      <c r="C5" s="71" t="s">
        <v>127</v>
      </c>
      <c r="D5" s="25">
        <v>400</v>
      </c>
      <c r="E5" s="25">
        <v>400</v>
      </c>
      <c r="F5" s="25">
        <v>400</v>
      </c>
      <c r="G5" s="25">
        <v>400</v>
      </c>
      <c r="H5" s="26">
        <v>400</v>
      </c>
    </row>
    <row r="6" spans="2:8" x14ac:dyDescent="0.2">
      <c r="B6" s="21"/>
      <c r="C6" s="24" t="s">
        <v>83</v>
      </c>
      <c r="D6" s="27">
        <f>D4*D5</f>
        <v>26000000</v>
      </c>
      <c r="E6" s="27">
        <f>E4*E5</f>
        <v>28000000</v>
      </c>
      <c r="F6" s="27">
        <f>F4*F5</f>
        <v>30000000</v>
      </c>
      <c r="G6" s="27">
        <f>G4*G5</f>
        <v>36000000</v>
      </c>
      <c r="H6" s="28">
        <f>H4*H5</f>
        <v>120000000</v>
      </c>
    </row>
    <row r="9" spans="2:8" x14ac:dyDescent="0.2">
      <c r="B9" s="106" t="s">
        <v>82</v>
      </c>
      <c r="C9" s="106"/>
    </row>
    <row r="10" spans="2:8" x14ac:dyDescent="0.2">
      <c r="B10" s="10"/>
      <c r="C10" s="5"/>
      <c r="D10" s="11" t="s">
        <v>57</v>
      </c>
      <c r="E10" s="11" t="s">
        <v>58</v>
      </c>
      <c r="F10" s="11" t="s">
        <v>59</v>
      </c>
      <c r="G10" s="11" t="s">
        <v>60</v>
      </c>
      <c r="H10" s="12" t="s">
        <v>61</v>
      </c>
    </row>
    <row r="11" spans="2:8" x14ac:dyDescent="0.2">
      <c r="B11" s="13"/>
      <c r="C11" s="71" t="s">
        <v>128</v>
      </c>
      <c r="D11" s="14">
        <f>D4</f>
        <v>65000</v>
      </c>
      <c r="E11" s="14">
        <f>E4</f>
        <v>70000</v>
      </c>
      <c r="F11" s="14">
        <f>F4</f>
        <v>75000</v>
      </c>
      <c r="G11" s="14">
        <f>G4</f>
        <v>90000</v>
      </c>
      <c r="H11" s="29">
        <f>H4</f>
        <v>300000</v>
      </c>
    </row>
    <row r="12" spans="2:8" x14ac:dyDescent="0.2">
      <c r="B12" s="77" t="s">
        <v>94</v>
      </c>
      <c r="C12" s="72" t="s">
        <v>129</v>
      </c>
      <c r="D12" s="7">
        <v>13000</v>
      </c>
      <c r="E12" s="7">
        <v>15000</v>
      </c>
      <c r="F12" s="7">
        <v>20000</v>
      </c>
      <c r="G12" s="7">
        <v>10000</v>
      </c>
      <c r="H12" s="17">
        <f>G12</f>
        <v>10000</v>
      </c>
    </row>
    <row r="13" spans="2:8" x14ac:dyDescent="0.2">
      <c r="B13" s="78"/>
      <c r="C13" s="71" t="s">
        <v>88</v>
      </c>
      <c r="D13" s="14">
        <f>SUM(D11:D12)</f>
        <v>78000</v>
      </c>
      <c r="E13" s="14">
        <f>SUM(E11:E12)</f>
        <v>85000</v>
      </c>
      <c r="F13" s="14">
        <f>SUM(F11:F12)</f>
        <v>95000</v>
      </c>
      <c r="G13" s="14">
        <f>SUM(G11:G12)</f>
        <v>100000</v>
      </c>
      <c r="H13" s="15">
        <f>SUM(H11:H12)</f>
        <v>310000</v>
      </c>
    </row>
    <row r="14" spans="2:8" x14ac:dyDescent="0.2">
      <c r="B14" s="77" t="s">
        <v>95</v>
      </c>
      <c r="C14" s="71" t="s">
        <v>130</v>
      </c>
      <c r="D14" s="19">
        <v>0</v>
      </c>
      <c r="E14" s="14">
        <f>D12</f>
        <v>13000</v>
      </c>
      <c r="F14" s="14">
        <f>E12</f>
        <v>15000</v>
      </c>
      <c r="G14" s="14">
        <f>F12</f>
        <v>20000</v>
      </c>
      <c r="H14" s="20">
        <f>D14</f>
        <v>0</v>
      </c>
    </row>
    <row r="15" spans="2:8" x14ac:dyDescent="0.2">
      <c r="B15" s="21"/>
      <c r="C15" s="70" t="s">
        <v>86</v>
      </c>
      <c r="D15" s="22">
        <f>D13-D14</f>
        <v>78000</v>
      </c>
      <c r="E15" s="22">
        <f>E13-E14</f>
        <v>72000</v>
      </c>
      <c r="F15" s="22">
        <f>F13-F14</f>
        <v>80000</v>
      </c>
      <c r="G15" s="22">
        <f>G13-G14</f>
        <v>80000</v>
      </c>
      <c r="H15" s="23">
        <f>H13-H14</f>
        <v>310000</v>
      </c>
    </row>
    <row r="18" spans="2:9" x14ac:dyDescent="0.2">
      <c r="B18" s="109" t="s">
        <v>99</v>
      </c>
      <c r="C18" s="106"/>
      <c r="D18" s="110"/>
    </row>
    <row r="19" spans="2:9" x14ac:dyDescent="0.2">
      <c r="B19" s="30"/>
      <c r="C19" s="4"/>
      <c r="D19" s="11" t="s">
        <v>57</v>
      </c>
      <c r="E19" s="11" t="s">
        <v>58</v>
      </c>
      <c r="F19" s="11" t="s">
        <v>59</v>
      </c>
      <c r="G19" s="11" t="s">
        <v>60</v>
      </c>
      <c r="H19" s="12" t="s">
        <v>61</v>
      </c>
    </row>
    <row r="20" spans="2:9" x14ac:dyDescent="0.2">
      <c r="B20" s="18"/>
      <c r="C20" s="71" t="s">
        <v>131</v>
      </c>
      <c r="D20" s="14">
        <f>D15</f>
        <v>78000</v>
      </c>
      <c r="E20" s="14">
        <f>E15</f>
        <v>72000</v>
      </c>
      <c r="F20" s="14">
        <f>F15</f>
        <v>80000</v>
      </c>
      <c r="G20" s="14">
        <f>G15</f>
        <v>80000</v>
      </c>
      <c r="H20" s="29">
        <f>H15</f>
        <v>310000</v>
      </c>
    </row>
    <row r="21" spans="2:9" x14ac:dyDescent="0.2">
      <c r="B21" s="78" t="s">
        <v>96</v>
      </c>
      <c r="C21" s="71" t="s">
        <v>132</v>
      </c>
      <c r="D21" s="19">
        <v>3</v>
      </c>
      <c r="E21" s="19">
        <v>3</v>
      </c>
      <c r="F21" s="19">
        <v>3</v>
      </c>
      <c r="G21" s="19">
        <v>3</v>
      </c>
      <c r="H21" s="20">
        <v>3</v>
      </c>
    </row>
    <row r="22" spans="2:9" x14ac:dyDescent="0.2">
      <c r="B22" s="18"/>
      <c r="C22" s="32" t="s">
        <v>84</v>
      </c>
      <c r="D22" s="9">
        <f>D20*D21</f>
        <v>234000</v>
      </c>
      <c r="E22" s="9">
        <f>E20*E21</f>
        <v>216000</v>
      </c>
      <c r="F22" s="9">
        <f>F20*F21</f>
        <v>240000</v>
      </c>
      <c r="G22" s="9">
        <f>G20*G21</f>
        <v>240000</v>
      </c>
      <c r="H22" s="29">
        <f>H20*H21</f>
        <v>930000</v>
      </c>
    </row>
    <row r="23" spans="2:9" x14ac:dyDescent="0.2">
      <c r="B23" s="16" t="s">
        <v>1</v>
      </c>
      <c r="C23" s="71" t="s">
        <v>133</v>
      </c>
      <c r="D23" s="14">
        <f>E22*30%</f>
        <v>64800</v>
      </c>
      <c r="E23" s="14">
        <f>F22*30%</f>
        <v>72000</v>
      </c>
      <c r="F23" s="14">
        <f>G22*30%</f>
        <v>72000</v>
      </c>
      <c r="G23" s="14">
        <v>65700</v>
      </c>
      <c r="H23" s="15">
        <f>G23</f>
        <v>65700</v>
      </c>
    </row>
    <row r="24" spans="2:9" x14ac:dyDescent="0.2">
      <c r="B24" s="18"/>
      <c r="C24" s="32" t="s">
        <v>85</v>
      </c>
      <c r="D24" s="9">
        <f>SUM(D22:D23)</f>
        <v>298800</v>
      </c>
      <c r="E24" s="9">
        <f>SUM(E22:E23)</f>
        <v>288000</v>
      </c>
      <c r="F24" s="9">
        <f>SUM(F22:F23)</f>
        <v>312000</v>
      </c>
      <c r="G24" s="9">
        <f>SUM(G22:G23)</f>
        <v>305700</v>
      </c>
      <c r="H24" s="29">
        <f>SUM(H22:H23)</f>
        <v>995700</v>
      </c>
    </row>
    <row r="25" spans="2:9" x14ac:dyDescent="0.2">
      <c r="B25" s="16" t="s">
        <v>2</v>
      </c>
      <c r="C25" s="71" t="s">
        <v>130</v>
      </c>
      <c r="D25" s="14">
        <v>65700</v>
      </c>
      <c r="E25" s="14">
        <f>D23</f>
        <v>64800</v>
      </c>
      <c r="F25" s="14">
        <f>E23</f>
        <v>72000</v>
      </c>
      <c r="G25" s="14">
        <f>F23</f>
        <v>72000</v>
      </c>
      <c r="H25" s="15">
        <f>D25</f>
        <v>65700</v>
      </c>
    </row>
    <row r="26" spans="2:9" x14ac:dyDescent="0.2">
      <c r="B26" s="18"/>
      <c r="C26" s="73" t="s">
        <v>87</v>
      </c>
      <c r="D26" s="9">
        <f>D24-D25</f>
        <v>233100</v>
      </c>
      <c r="E26" s="9">
        <f>E24-E25</f>
        <v>223200</v>
      </c>
      <c r="F26" s="9">
        <f>F24-F25</f>
        <v>240000</v>
      </c>
      <c r="G26" s="9">
        <f>G24-G25</f>
        <v>233700</v>
      </c>
      <c r="H26" s="29">
        <f>H24-H25</f>
        <v>930000</v>
      </c>
    </row>
    <row r="27" spans="2:9" x14ac:dyDescent="0.2">
      <c r="B27" s="78" t="s">
        <v>96</v>
      </c>
      <c r="C27" s="71" t="s">
        <v>134</v>
      </c>
      <c r="D27" s="25">
        <v>80</v>
      </c>
      <c r="E27" s="25">
        <v>80</v>
      </c>
      <c r="F27" s="25">
        <v>80</v>
      </c>
      <c r="G27" s="25">
        <v>80</v>
      </c>
      <c r="H27" s="26">
        <v>80</v>
      </c>
    </row>
    <row r="28" spans="2:9" x14ac:dyDescent="0.2">
      <c r="B28" s="31"/>
      <c r="C28" s="70" t="s">
        <v>90</v>
      </c>
      <c r="D28" s="27">
        <f>D26*D27</f>
        <v>18648000</v>
      </c>
      <c r="E28" s="27">
        <f>E26*E27</f>
        <v>17856000</v>
      </c>
      <c r="F28" s="27">
        <f>F26*F27</f>
        <v>19200000</v>
      </c>
      <c r="G28" s="27">
        <f>G26*G27</f>
        <v>18696000</v>
      </c>
      <c r="H28" s="28">
        <f>H26*H27</f>
        <v>74400000</v>
      </c>
      <c r="I28" s="113"/>
    </row>
    <row r="31" spans="2:9" x14ac:dyDescent="0.2">
      <c r="B31" s="107" t="s">
        <v>11</v>
      </c>
      <c r="C31" s="108"/>
    </row>
    <row r="32" spans="2:9" x14ac:dyDescent="0.2">
      <c r="B32" s="10"/>
      <c r="C32" s="5"/>
      <c r="D32" s="11" t="s">
        <v>57</v>
      </c>
      <c r="E32" s="11" t="s">
        <v>58</v>
      </c>
      <c r="F32" s="11" t="s">
        <v>59</v>
      </c>
      <c r="G32" s="11" t="s">
        <v>60</v>
      </c>
      <c r="H32" s="12" t="s">
        <v>61</v>
      </c>
    </row>
    <row r="33" spans="2:9" x14ac:dyDescent="0.2">
      <c r="B33" s="13"/>
      <c r="C33" s="71" t="s">
        <v>131</v>
      </c>
      <c r="D33" s="14">
        <f>D15</f>
        <v>78000</v>
      </c>
      <c r="E33" s="14">
        <f>E15</f>
        <v>72000</v>
      </c>
      <c r="F33" s="14">
        <f>F15</f>
        <v>80000</v>
      </c>
      <c r="G33" s="14">
        <f>G15</f>
        <v>80000</v>
      </c>
      <c r="H33" s="15">
        <f>H15</f>
        <v>310000</v>
      </c>
    </row>
    <row r="34" spans="2:9" x14ac:dyDescent="0.2">
      <c r="B34" s="78" t="s">
        <v>96</v>
      </c>
      <c r="C34" s="71" t="s">
        <v>135</v>
      </c>
      <c r="D34" s="14">
        <v>5</v>
      </c>
      <c r="E34" s="14">
        <v>5</v>
      </c>
      <c r="F34" s="14">
        <v>5</v>
      </c>
      <c r="G34" s="14">
        <v>5</v>
      </c>
      <c r="H34" s="15">
        <v>5</v>
      </c>
    </row>
    <row r="35" spans="2:9" x14ac:dyDescent="0.2">
      <c r="B35" s="13"/>
      <c r="C35" s="73" t="s">
        <v>89</v>
      </c>
      <c r="D35" s="9">
        <f>D33*D34</f>
        <v>390000</v>
      </c>
      <c r="E35" s="9">
        <f>E33*E34</f>
        <v>360000</v>
      </c>
      <c r="F35" s="9">
        <f>F33*F34</f>
        <v>400000</v>
      </c>
      <c r="G35" s="9">
        <f>G33*G34</f>
        <v>400000</v>
      </c>
      <c r="H35" s="29">
        <f>H33*H34</f>
        <v>1550000</v>
      </c>
    </row>
    <row r="36" spans="2:9" x14ac:dyDescent="0.2">
      <c r="B36" s="78" t="s">
        <v>96</v>
      </c>
      <c r="C36" s="72" t="s">
        <v>136</v>
      </c>
      <c r="D36" s="36">
        <v>10</v>
      </c>
      <c r="E36" s="36">
        <v>10</v>
      </c>
      <c r="F36" s="36">
        <v>10</v>
      </c>
      <c r="G36" s="36">
        <v>10</v>
      </c>
      <c r="H36" s="37">
        <v>10</v>
      </c>
    </row>
    <row r="37" spans="2:9" x14ac:dyDescent="0.2">
      <c r="B37" s="21"/>
      <c r="C37" s="6" t="s">
        <v>12</v>
      </c>
      <c r="D37" s="36">
        <f>D35*D36</f>
        <v>3900000</v>
      </c>
      <c r="E37" s="36">
        <f>E35*E36</f>
        <v>3600000</v>
      </c>
      <c r="F37" s="36">
        <f>F35*F36</f>
        <v>4000000</v>
      </c>
      <c r="G37" s="36">
        <f>G35*G36</f>
        <v>4000000</v>
      </c>
      <c r="H37" s="37">
        <f>H35*H36</f>
        <v>15500000</v>
      </c>
      <c r="I37" s="74"/>
    </row>
    <row r="40" spans="2:9" x14ac:dyDescent="0.2">
      <c r="B40" s="107" t="s">
        <v>13</v>
      </c>
      <c r="C40" s="107"/>
    </row>
    <row r="41" spans="2:9" x14ac:dyDescent="0.2">
      <c r="B41" s="10"/>
      <c r="C41" s="5"/>
      <c r="D41" s="11" t="s">
        <v>57</v>
      </c>
      <c r="E41" s="11" t="s">
        <v>58</v>
      </c>
      <c r="F41" s="11" t="s">
        <v>59</v>
      </c>
      <c r="G41" s="11" t="s">
        <v>60</v>
      </c>
      <c r="H41" s="12" t="s">
        <v>61</v>
      </c>
    </row>
    <row r="42" spans="2:9" x14ac:dyDescent="0.2">
      <c r="B42" s="13"/>
      <c r="C42" s="71" t="s">
        <v>137</v>
      </c>
      <c r="D42" s="14">
        <f>D35</f>
        <v>390000</v>
      </c>
      <c r="E42" s="14">
        <f>E35</f>
        <v>360000</v>
      </c>
      <c r="F42" s="14">
        <f>F35</f>
        <v>400000</v>
      </c>
      <c r="G42" s="14">
        <f>G35</f>
        <v>400000</v>
      </c>
      <c r="H42" s="15">
        <f>H35</f>
        <v>1550000</v>
      </c>
    </row>
    <row r="43" spans="2:9" x14ac:dyDescent="0.2">
      <c r="B43" s="78" t="s">
        <v>96</v>
      </c>
      <c r="C43" s="71" t="s">
        <v>138</v>
      </c>
      <c r="D43" s="25">
        <v>6</v>
      </c>
      <c r="E43" s="25">
        <v>6</v>
      </c>
      <c r="F43" s="25">
        <v>6</v>
      </c>
      <c r="G43" s="25">
        <v>6</v>
      </c>
      <c r="H43" s="26">
        <v>6</v>
      </c>
    </row>
    <row r="44" spans="2:9" x14ac:dyDescent="0.2">
      <c r="B44" s="13"/>
      <c r="C44" s="5" t="s">
        <v>14</v>
      </c>
      <c r="D44" s="34">
        <f>D42*D43</f>
        <v>2340000</v>
      </c>
      <c r="E44" s="34">
        <f>E42*E43</f>
        <v>2160000</v>
      </c>
      <c r="F44" s="34">
        <f>F42*F43</f>
        <v>2400000</v>
      </c>
      <c r="G44" s="34">
        <f>G42*G43</f>
        <v>2400000</v>
      </c>
      <c r="H44" s="35">
        <f>H42*H43</f>
        <v>9300000</v>
      </c>
      <c r="I44" s="74"/>
    </row>
    <row r="45" spans="2:9" x14ac:dyDescent="0.2">
      <c r="B45" s="16" t="s">
        <v>15</v>
      </c>
      <c r="C45" s="71" t="s">
        <v>139</v>
      </c>
      <c r="D45" s="14">
        <v>1000000</v>
      </c>
      <c r="E45" s="14">
        <v>1000000</v>
      </c>
      <c r="F45" s="14">
        <v>1000000</v>
      </c>
      <c r="G45" s="14">
        <v>1000000</v>
      </c>
      <c r="H45" s="15">
        <v>4000000</v>
      </c>
    </row>
    <row r="46" spans="2:9" x14ac:dyDescent="0.2">
      <c r="B46" s="21"/>
      <c r="C46" s="70" t="s">
        <v>91</v>
      </c>
      <c r="D46" s="27">
        <f>SUM(D44:D45)</f>
        <v>3340000</v>
      </c>
      <c r="E46" s="27">
        <f>SUM(E44:E45)</f>
        <v>3160000</v>
      </c>
      <c r="F46" s="27">
        <f>SUM(F44:F45)</f>
        <v>3400000</v>
      </c>
      <c r="G46" s="27">
        <f>SUM(G44:G45)</f>
        <v>3400000</v>
      </c>
      <c r="H46" s="28">
        <f>SUM(H44:H45)</f>
        <v>13300000</v>
      </c>
    </row>
    <row r="49" spans="2:9" x14ac:dyDescent="0.2">
      <c r="B49" s="107" t="s">
        <v>56</v>
      </c>
      <c r="C49" s="107"/>
    </row>
    <row r="50" spans="2:9" x14ac:dyDescent="0.2">
      <c r="B50" s="99"/>
      <c r="C50" s="100"/>
      <c r="D50" s="11" t="s">
        <v>0</v>
      </c>
      <c r="E50" s="11" t="s">
        <v>18</v>
      </c>
      <c r="F50" s="11" t="s">
        <v>20</v>
      </c>
      <c r="G50" s="12" t="s">
        <v>21</v>
      </c>
    </row>
    <row r="51" spans="2:9" x14ac:dyDescent="0.2">
      <c r="B51" s="13"/>
      <c r="C51" s="75" t="s">
        <v>77</v>
      </c>
      <c r="D51" s="25">
        <f>D21*D27</f>
        <v>240</v>
      </c>
      <c r="E51" s="25">
        <f>E21*E27</f>
        <v>240</v>
      </c>
      <c r="F51" s="25">
        <f>F21*F27</f>
        <v>240</v>
      </c>
      <c r="G51" s="26">
        <f>G21*G27</f>
        <v>240</v>
      </c>
    </row>
    <row r="52" spans="2:9" x14ac:dyDescent="0.2">
      <c r="B52" s="78" t="s">
        <v>94</v>
      </c>
      <c r="C52" s="79" t="s">
        <v>93</v>
      </c>
      <c r="D52" s="14">
        <f>D34*D36</f>
        <v>50</v>
      </c>
      <c r="E52" s="14">
        <f>E34*E36</f>
        <v>50</v>
      </c>
      <c r="F52" s="14">
        <f>F34*F36</f>
        <v>50</v>
      </c>
      <c r="G52" s="15">
        <f>G34*G36</f>
        <v>50</v>
      </c>
    </row>
    <row r="53" spans="2:9" x14ac:dyDescent="0.2">
      <c r="B53" s="78" t="s">
        <v>94</v>
      </c>
      <c r="C53" s="68" t="s">
        <v>78</v>
      </c>
      <c r="D53" s="14">
        <f>D43*D34</f>
        <v>30</v>
      </c>
      <c r="E53" s="14">
        <f>E43*E34</f>
        <v>30</v>
      </c>
      <c r="F53" s="14">
        <f>F43*F34</f>
        <v>30</v>
      </c>
      <c r="G53" s="15">
        <f>G43*G34</f>
        <v>30</v>
      </c>
    </row>
    <row r="54" spans="2:9" x14ac:dyDescent="0.2">
      <c r="B54" s="78" t="s">
        <v>94</v>
      </c>
      <c r="C54" s="69" t="s">
        <v>79</v>
      </c>
      <c r="D54" s="97">
        <f>$H$45/$H$15</f>
        <v>12.903225806451612</v>
      </c>
      <c r="E54" s="97">
        <f>$H$45/$H$15</f>
        <v>12.903225806451612</v>
      </c>
      <c r="F54" s="97">
        <f>$H$45/$H$15</f>
        <v>12.903225806451612</v>
      </c>
      <c r="G54" s="83">
        <f>$H$45/$H$15</f>
        <v>12.903225806451612</v>
      </c>
    </row>
    <row r="55" spans="2:9" x14ac:dyDescent="0.2">
      <c r="B55" s="13"/>
      <c r="C55" s="68" t="s">
        <v>80</v>
      </c>
      <c r="D55" s="80">
        <f>SUM(D51:D54)</f>
        <v>332.90322580645159</v>
      </c>
      <c r="E55" s="80">
        <f>SUM(E51:E54)</f>
        <v>332.90322580645159</v>
      </c>
      <c r="F55" s="80">
        <f>SUM(F51:F54)</f>
        <v>332.90322580645159</v>
      </c>
      <c r="G55" s="81">
        <f>SUM(G51:G54)</f>
        <v>332.90322580645159</v>
      </c>
    </row>
    <row r="56" spans="2:9" x14ac:dyDescent="0.2">
      <c r="B56" s="78" t="s">
        <v>96</v>
      </c>
      <c r="C56" s="82" t="s">
        <v>117</v>
      </c>
      <c r="D56" s="98">
        <f>D12</f>
        <v>13000</v>
      </c>
      <c r="E56" s="98">
        <f>E12</f>
        <v>15000</v>
      </c>
      <c r="F56" s="98">
        <f>F12</f>
        <v>20000</v>
      </c>
      <c r="G56" s="101">
        <f>G12</f>
        <v>10000</v>
      </c>
    </row>
    <row r="57" spans="2:9" x14ac:dyDescent="0.2">
      <c r="B57" s="21"/>
      <c r="C57" s="82" t="s">
        <v>92</v>
      </c>
      <c r="D57" s="27">
        <f>D55*D56</f>
        <v>4327741.935483871</v>
      </c>
      <c r="E57" s="27">
        <f>E55*E56</f>
        <v>4993548.3870967738</v>
      </c>
      <c r="F57" s="27">
        <f>F55*F56</f>
        <v>6658064.5161290318</v>
      </c>
      <c r="G57" s="28">
        <f>G55*G56</f>
        <v>3329032.2580645159</v>
      </c>
    </row>
    <row r="58" spans="2:9" x14ac:dyDescent="0.2">
      <c r="B58"/>
      <c r="E58" s="38"/>
    </row>
    <row r="60" spans="2:9" x14ac:dyDescent="0.2">
      <c r="B60" s="103" t="s">
        <v>98</v>
      </c>
      <c r="C60" s="104"/>
    </row>
    <row r="61" spans="2:9" x14ac:dyDescent="0.2">
      <c r="B61" s="84"/>
      <c r="C61" s="85"/>
      <c r="D61" s="11" t="s">
        <v>0</v>
      </c>
      <c r="E61" s="11" t="s">
        <v>18</v>
      </c>
      <c r="F61" s="11" t="s">
        <v>20</v>
      </c>
      <c r="G61" s="11" t="s">
        <v>21</v>
      </c>
      <c r="H61" s="12" t="s">
        <v>61</v>
      </c>
    </row>
    <row r="62" spans="2:9" x14ac:dyDescent="0.2">
      <c r="B62" s="43"/>
      <c r="C62" s="71" t="s">
        <v>140</v>
      </c>
      <c r="D62" s="25">
        <f>D28</f>
        <v>18648000</v>
      </c>
      <c r="E62" s="25">
        <f>E28</f>
        <v>17856000</v>
      </c>
      <c r="F62" s="25">
        <f t="shared" ref="F62:G62" si="0">F28</f>
        <v>19200000</v>
      </c>
      <c r="G62" s="25">
        <f t="shared" si="0"/>
        <v>18696000</v>
      </c>
      <c r="H62" s="35">
        <f>H15*$G$51</f>
        <v>74400000</v>
      </c>
      <c r="I62" s="74"/>
    </row>
    <row r="63" spans="2:9" x14ac:dyDescent="0.2">
      <c r="B63" s="42" t="s">
        <v>64</v>
      </c>
      <c r="C63" s="71" t="s">
        <v>141</v>
      </c>
      <c r="D63" s="14">
        <f>D37</f>
        <v>3900000</v>
      </c>
      <c r="E63" s="14">
        <f>E37</f>
        <v>3600000</v>
      </c>
      <c r="F63" s="14">
        <f>F37</f>
        <v>4000000</v>
      </c>
      <c r="G63" s="14">
        <f>G37</f>
        <v>4000000</v>
      </c>
      <c r="H63" s="15">
        <f>H37</f>
        <v>15500000</v>
      </c>
      <c r="I63" s="74"/>
    </row>
    <row r="64" spans="2:9" x14ac:dyDescent="0.2">
      <c r="B64" s="42" t="s">
        <v>64</v>
      </c>
      <c r="C64" s="72" t="s">
        <v>142</v>
      </c>
      <c r="D64" s="7">
        <f>D46</f>
        <v>3340000</v>
      </c>
      <c r="E64" s="7">
        <f>E46</f>
        <v>3160000</v>
      </c>
      <c r="F64" s="7">
        <f>F46</f>
        <v>3400000</v>
      </c>
      <c r="G64" s="7">
        <f>G46</f>
        <v>3400000</v>
      </c>
      <c r="H64" s="17">
        <f>H46</f>
        <v>13300000</v>
      </c>
      <c r="I64" s="74"/>
    </row>
    <row r="65" spans="2:9" x14ac:dyDescent="0.2">
      <c r="B65" s="43"/>
      <c r="C65" s="19" t="s">
        <v>5</v>
      </c>
      <c r="D65" s="25">
        <f>SUM(D62:D64)</f>
        <v>25888000</v>
      </c>
      <c r="E65" s="25">
        <f>SUM(E62:E64)</f>
        <v>24616000</v>
      </c>
      <c r="F65" s="25">
        <f>SUM(F62:F64)</f>
        <v>26600000</v>
      </c>
      <c r="G65" s="25">
        <f>SUM(G62:G64)</f>
        <v>26096000</v>
      </c>
      <c r="H65" s="26">
        <f>SUM(H62:H64)</f>
        <v>103200000</v>
      </c>
      <c r="I65" s="74"/>
    </row>
    <row r="66" spans="2:9" x14ac:dyDescent="0.2">
      <c r="B66" s="42" t="s">
        <v>64</v>
      </c>
      <c r="C66" s="72" t="s">
        <v>143</v>
      </c>
      <c r="D66" s="6">
        <f>D14</f>
        <v>0</v>
      </c>
      <c r="E66" s="36">
        <f>D57</f>
        <v>4327741.935483871</v>
      </c>
      <c r="F66" s="36">
        <f>E57</f>
        <v>4993548.3870967738</v>
      </c>
      <c r="G66" s="36">
        <f>F57</f>
        <v>6658064.5161290318</v>
      </c>
      <c r="H66" s="41">
        <f>D66</f>
        <v>0</v>
      </c>
    </row>
    <row r="67" spans="2:9" x14ac:dyDescent="0.2">
      <c r="B67" s="43"/>
      <c r="C67" s="19" t="s">
        <v>6</v>
      </c>
      <c r="D67" s="25">
        <f>SUM(D65:D66)</f>
        <v>25888000</v>
      </c>
      <c r="E67" s="25">
        <f>SUM(E65:E66)</f>
        <v>28943741.935483873</v>
      </c>
      <c r="F67" s="25">
        <f>SUM(F65:F66)</f>
        <v>31593548.387096774</v>
      </c>
      <c r="G67" s="25">
        <f>SUM(G65:G66)</f>
        <v>32754064.516129032</v>
      </c>
      <c r="H67" s="26">
        <f>SUM(H65:H66)</f>
        <v>103200000</v>
      </c>
      <c r="I67" s="74"/>
    </row>
    <row r="68" spans="2:9" x14ac:dyDescent="0.2">
      <c r="B68" s="42" t="s">
        <v>65</v>
      </c>
      <c r="C68" s="6" t="s">
        <v>7</v>
      </c>
      <c r="D68" s="36">
        <f>$G$55*D12</f>
        <v>4327741.935483871</v>
      </c>
      <c r="E68" s="36">
        <f>$G$55*E12</f>
        <v>4993548.3870967738</v>
      </c>
      <c r="F68" s="36">
        <f>$G$55*F12</f>
        <v>6658064.5161290318</v>
      </c>
      <c r="G68" s="36">
        <f>$G$55*G12</f>
        <v>3329032.2580645159</v>
      </c>
      <c r="H68" s="37">
        <f>G68</f>
        <v>3329032.2580645159</v>
      </c>
    </row>
    <row r="69" spans="2:9" x14ac:dyDescent="0.2">
      <c r="B69" s="21"/>
      <c r="C69" s="6" t="s">
        <v>3</v>
      </c>
      <c r="D69" s="36">
        <f>D67-D68</f>
        <v>21560258.064516127</v>
      </c>
      <c r="E69" s="36">
        <f>E67-E68</f>
        <v>23950193.548387099</v>
      </c>
      <c r="F69" s="36">
        <f>F67-F68</f>
        <v>24935483.870967742</v>
      </c>
      <c r="G69" s="36">
        <f>G67-G68</f>
        <v>29425032.258064516</v>
      </c>
      <c r="H69" s="37">
        <f>H67-H68</f>
        <v>99870967.741935492</v>
      </c>
      <c r="I69" s="74"/>
    </row>
    <row r="72" spans="2:9" x14ac:dyDescent="0.2">
      <c r="B72" s="103" t="s">
        <v>97</v>
      </c>
      <c r="C72" s="104"/>
      <c r="D72" s="105"/>
    </row>
    <row r="73" spans="2:9" x14ac:dyDescent="0.2">
      <c r="B73" s="10"/>
      <c r="C73" s="5"/>
      <c r="D73" s="11" t="s">
        <v>57</v>
      </c>
      <c r="E73" s="11" t="s">
        <v>58</v>
      </c>
      <c r="F73" s="11" t="s">
        <v>59</v>
      </c>
      <c r="G73" s="11" t="s">
        <v>60</v>
      </c>
      <c r="H73" s="12" t="s">
        <v>61</v>
      </c>
    </row>
    <row r="74" spans="2:9" x14ac:dyDescent="0.2">
      <c r="B74" s="43"/>
      <c r="C74" s="71" t="s">
        <v>128</v>
      </c>
      <c r="D74" s="14">
        <f>D4</f>
        <v>65000</v>
      </c>
      <c r="E74" s="14">
        <f>E4</f>
        <v>70000</v>
      </c>
      <c r="F74" s="14">
        <f>F4</f>
        <v>75000</v>
      </c>
      <c r="G74" s="14">
        <f>G4</f>
        <v>90000</v>
      </c>
      <c r="H74" s="15">
        <f>H4</f>
        <v>300000</v>
      </c>
    </row>
    <row r="75" spans="2:9" x14ac:dyDescent="0.2">
      <c r="B75" s="42" t="s">
        <v>68</v>
      </c>
      <c r="C75" s="71" t="s">
        <v>144</v>
      </c>
      <c r="D75" s="25">
        <v>10</v>
      </c>
      <c r="E75" s="25">
        <v>10</v>
      </c>
      <c r="F75" s="25">
        <v>10</v>
      </c>
      <c r="G75" s="25">
        <v>10</v>
      </c>
      <c r="H75" s="26">
        <v>10</v>
      </c>
    </row>
    <row r="76" spans="2:9" x14ac:dyDescent="0.2">
      <c r="B76" s="43"/>
      <c r="C76" s="5" t="s">
        <v>66</v>
      </c>
      <c r="D76" s="34">
        <f>D74*D75</f>
        <v>650000</v>
      </c>
      <c r="E76" s="34">
        <f>E74*E75</f>
        <v>700000</v>
      </c>
      <c r="F76" s="34">
        <f>F74*F75</f>
        <v>750000</v>
      </c>
      <c r="G76" s="34">
        <f>G74*G75</f>
        <v>900000</v>
      </c>
      <c r="H76" s="35">
        <f>H74*H75</f>
        <v>3000000</v>
      </c>
    </row>
    <row r="77" spans="2:9" x14ac:dyDescent="0.2">
      <c r="B77" s="42" t="s">
        <v>69</v>
      </c>
      <c r="C77" s="71" t="s">
        <v>145</v>
      </c>
      <c r="D77" s="14">
        <v>250000</v>
      </c>
      <c r="E77" s="14">
        <v>250000</v>
      </c>
      <c r="F77" s="14">
        <v>250000</v>
      </c>
      <c r="G77" s="14">
        <v>250000</v>
      </c>
      <c r="H77" s="15">
        <f>SUM(D77:G77)</f>
        <v>1000000</v>
      </c>
    </row>
    <row r="78" spans="2:9" x14ac:dyDescent="0.2">
      <c r="B78" s="44"/>
      <c r="C78" s="33" t="s">
        <v>67</v>
      </c>
      <c r="D78" s="27">
        <f>SUM(D76:D77)</f>
        <v>900000</v>
      </c>
      <c r="E78" s="27">
        <f>SUM(E76:E77)</f>
        <v>950000</v>
      </c>
      <c r="F78" s="27">
        <f>SUM(F76:F77)</f>
        <v>1000000</v>
      </c>
      <c r="G78" s="27">
        <f>SUM(G76:G77)</f>
        <v>1150000</v>
      </c>
      <c r="H78" s="28">
        <f>SUM(H76:H77)</f>
        <v>4000000</v>
      </c>
    </row>
    <row r="81" spans="2:9" x14ac:dyDescent="0.2">
      <c r="B81" s="103" t="s">
        <v>100</v>
      </c>
      <c r="C81" s="104"/>
      <c r="D81" s="105"/>
      <c r="E81" s="103"/>
      <c r="F81" s="104"/>
      <c r="G81" s="105"/>
      <c r="H81" s="86"/>
    </row>
    <row r="82" spans="2:9" x14ac:dyDescent="0.2">
      <c r="B82" s="10"/>
      <c r="C82" s="5"/>
      <c r="D82" s="11" t="s">
        <v>0</v>
      </c>
      <c r="E82" s="11" t="s">
        <v>18</v>
      </c>
      <c r="F82" s="11" t="s">
        <v>20</v>
      </c>
      <c r="G82" s="11" t="s">
        <v>21</v>
      </c>
      <c r="H82" s="12" t="s">
        <v>61</v>
      </c>
    </row>
    <row r="83" spans="2:9" x14ac:dyDescent="0.2">
      <c r="B83" s="13"/>
      <c r="C83" s="71" t="s">
        <v>101</v>
      </c>
      <c r="D83" s="25">
        <f>D6</f>
        <v>26000000</v>
      </c>
      <c r="E83" s="25">
        <f>E6</f>
        <v>28000000</v>
      </c>
      <c r="F83" s="25">
        <f>F6</f>
        <v>30000000</v>
      </c>
      <c r="G83" s="25">
        <f>G6</f>
        <v>36000000</v>
      </c>
      <c r="H83" s="26">
        <f>H6</f>
        <v>120000000</v>
      </c>
      <c r="I83" s="74"/>
    </row>
    <row r="84" spans="2:9" x14ac:dyDescent="0.2">
      <c r="B84" s="77" t="s">
        <v>95</v>
      </c>
      <c r="C84" s="72" t="s">
        <v>102</v>
      </c>
      <c r="D84" s="36">
        <f>D69</f>
        <v>21560258.064516127</v>
      </c>
      <c r="E84" s="36">
        <f>E69</f>
        <v>23950193.548387099</v>
      </c>
      <c r="F84" s="36">
        <f>F69</f>
        <v>24935483.870967742</v>
      </c>
      <c r="G84" s="36">
        <f>G69</f>
        <v>29425032.258064516</v>
      </c>
      <c r="H84" s="37">
        <f>H69</f>
        <v>99870967.741935492</v>
      </c>
      <c r="I84" s="74"/>
    </row>
    <row r="85" spans="2:9" x14ac:dyDescent="0.2">
      <c r="B85" s="13"/>
      <c r="C85" s="71" t="s">
        <v>103</v>
      </c>
      <c r="D85" s="25">
        <f>D83-D84</f>
        <v>4439741.9354838729</v>
      </c>
      <c r="E85" s="25">
        <f>E83-E84</f>
        <v>4049806.4516129009</v>
      </c>
      <c r="F85" s="25">
        <f>F83-F84</f>
        <v>5064516.1290322579</v>
      </c>
      <c r="G85" s="25">
        <f>G83-G84</f>
        <v>6574967.7419354841</v>
      </c>
      <c r="H85" s="26">
        <f>H83-H84</f>
        <v>20129032.258064508</v>
      </c>
      <c r="I85" s="74"/>
    </row>
    <row r="86" spans="2:9" x14ac:dyDescent="0.2">
      <c r="B86" s="76" t="s">
        <v>95</v>
      </c>
      <c r="C86" s="72" t="s">
        <v>104</v>
      </c>
      <c r="D86" s="36">
        <f>D78</f>
        <v>900000</v>
      </c>
      <c r="E86" s="36">
        <f>E78</f>
        <v>950000</v>
      </c>
      <c r="F86" s="36">
        <f>F78</f>
        <v>1000000</v>
      </c>
      <c r="G86" s="36">
        <f>G78</f>
        <v>1150000</v>
      </c>
      <c r="H86" s="37">
        <f>H78</f>
        <v>4000000</v>
      </c>
      <c r="I86" s="74"/>
    </row>
    <row r="87" spans="2:9" x14ac:dyDescent="0.2">
      <c r="B87" s="21"/>
      <c r="C87" s="72" t="s">
        <v>105</v>
      </c>
      <c r="D87" s="36">
        <f>D85-D86</f>
        <v>3539741.9354838729</v>
      </c>
      <c r="E87" s="36">
        <f>E85-E86</f>
        <v>3099806.4516129009</v>
      </c>
      <c r="F87" s="36">
        <f>F85-F86</f>
        <v>4064516.1290322579</v>
      </c>
      <c r="G87" s="36">
        <f>G85-G86</f>
        <v>5424967.7419354841</v>
      </c>
      <c r="H87" s="37">
        <f>H85-H86</f>
        <v>16129032.258064508</v>
      </c>
      <c r="I87" s="74"/>
    </row>
  </sheetData>
  <mergeCells count="10">
    <mergeCell ref="B72:D72"/>
    <mergeCell ref="B81:D81"/>
    <mergeCell ref="E81:G81"/>
    <mergeCell ref="B2:C2"/>
    <mergeCell ref="B9:C9"/>
    <mergeCell ref="B31:C31"/>
    <mergeCell ref="B18:D18"/>
    <mergeCell ref="B40:C40"/>
    <mergeCell ref="B60:C60"/>
    <mergeCell ref="B49:C49"/>
  </mergeCells>
  <phoneticPr fontId="6" type="noConversion"/>
  <pageMargins left="0.75" right="0.75" top="0.75" bottom="0.75" header="0.5" footer="0.5"/>
  <pageSetup orientation="landscape" r:id="rId1"/>
  <rowBreaks count="1" manualBreakCount="1">
    <brk id="71" max="16383" man="1"/>
  </rowBreaks>
  <ignoredErrors>
    <ignoredError sqref="D86 E86:H8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B2:G44"/>
  <sheetViews>
    <sheetView workbookViewId="0"/>
  </sheetViews>
  <sheetFormatPr defaultColWidth="11" defaultRowHeight="12.75" x14ac:dyDescent="0.2"/>
  <cols>
    <col min="1" max="1" width="4.875" customWidth="1"/>
    <col min="2" max="2" width="4.5" style="8" bestFit="1" customWidth="1"/>
    <col min="3" max="3" width="19" style="1" bestFit="1" customWidth="1"/>
    <col min="4" max="7" width="11.125" bestFit="1" customWidth="1"/>
  </cols>
  <sheetData>
    <row r="2" spans="2:7" x14ac:dyDescent="0.2">
      <c r="B2" s="106" t="s">
        <v>63</v>
      </c>
      <c r="C2" s="106"/>
    </row>
    <row r="3" spans="2:7" x14ac:dyDescent="0.2">
      <c r="B3" s="30"/>
      <c r="C3" s="4"/>
      <c r="D3" s="11" t="s">
        <v>57</v>
      </c>
      <c r="E3" s="11" t="s">
        <v>58</v>
      </c>
      <c r="F3" s="11" t="s">
        <v>59</v>
      </c>
      <c r="G3" s="12" t="s">
        <v>60</v>
      </c>
    </row>
    <row r="4" spans="2:7" x14ac:dyDescent="0.2">
      <c r="B4" s="64"/>
      <c r="C4" s="71" t="s">
        <v>146</v>
      </c>
      <c r="D4" s="25">
        <v>250000</v>
      </c>
      <c r="E4" s="25">
        <f>D17</f>
        <v>1038000</v>
      </c>
      <c r="F4" s="25">
        <f>E17</f>
        <v>2876000</v>
      </c>
      <c r="G4" s="26">
        <f>F17</f>
        <v>5748000</v>
      </c>
    </row>
    <row r="5" spans="2:7" x14ac:dyDescent="0.2">
      <c r="B5" s="89" t="s">
        <v>94</v>
      </c>
      <c r="C5" s="19" t="s">
        <v>33</v>
      </c>
      <c r="D5" s="14">
        <f>'Cash Budget SupportingSchedules'!C17</f>
        <v>25400000</v>
      </c>
      <c r="E5" s="14">
        <f>'Cash Budget SupportingSchedules'!D17</f>
        <v>27700000</v>
      </c>
      <c r="F5" s="14">
        <f>'Cash Budget SupportingSchedules'!E17</f>
        <v>29700000</v>
      </c>
      <c r="G5" s="15">
        <f>'Cash Budget SupportingSchedules'!F17</f>
        <v>35100000</v>
      </c>
    </row>
    <row r="6" spans="2:7" x14ac:dyDescent="0.2">
      <c r="B6" s="90"/>
      <c r="C6" s="33" t="s">
        <v>34</v>
      </c>
      <c r="D6" s="27">
        <f>SUM(D4:D5)</f>
        <v>25650000</v>
      </c>
      <c r="E6" s="27">
        <f>SUM(E4:E5)</f>
        <v>28738000</v>
      </c>
      <c r="F6" s="27">
        <f>SUM(F4:F5)</f>
        <v>32576000</v>
      </c>
      <c r="G6" s="28">
        <f>SUM(G4:G5)</f>
        <v>40848000</v>
      </c>
    </row>
    <row r="7" spans="2:7" x14ac:dyDescent="0.2">
      <c r="B7" s="78"/>
      <c r="C7" s="19" t="s">
        <v>35</v>
      </c>
      <c r="D7" s="19"/>
      <c r="E7" s="19"/>
      <c r="F7" s="19"/>
      <c r="G7" s="20"/>
    </row>
    <row r="8" spans="2:7" x14ac:dyDescent="0.2">
      <c r="B8" s="95"/>
      <c r="C8" s="88" t="s">
        <v>107</v>
      </c>
      <c r="D8" s="25">
        <f>'Cash Budget SupportingSchedules'!C43</f>
        <v>16572000</v>
      </c>
      <c r="E8" s="25">
        <f>'Cash Budget SupportingSchedules'!D43</f>
        <v>18252000</v>
      </c>
      <c r="F8" s="25">
        <f>'Cash Budget SupportingSchedules'!E43</f>
        <v>18528000</v>
      </c>
      <c r="G8" s="26">
        <f>'Cash Budget SupportingSchedules'!F43</f>
        <v>18948000</v>
      </c>
    </row>
    <row r="9" spans="2:7" x14ac:dyDescent="0.2">
      <c r="B9" s="95"/>
      <c r="C9" s="66" t="s">
        <v>4</v>
      </c>
      <c r="D9" s="14">
        <f>'Operating Budget'!D37</f>
        <v>3900000</v>
      </c>
      <c r="E9" s="14">
        <f>'Operating Budget'!E37</f>
        <v>3600000</v>
      </c>
      <c r="F9" s="14">
        <f>'Operating Budget'!F37</f>
        <v>4000000</v>
      </c>
      <c r="G9" s="15">
        <f>'Operating Budget'!G37</f>
        <v>4000000</v>
      </c>
    </row>
    <row r="10" spans="2:7" x14ac:dyDescent="0.2">
      <c r="B10" s="95"/>
      <c r="C10" s="66" t="s">
        <v>36</v>
      </c>
      <c r="D10" s="14">
        <f>'Cash Budget SupportingSchedules'!C59</f>
        <v>2990000</v>
      </c>
      <c r="E10" s="14">
        <f>'Cash Budget SupportingSchedules'!D59</f>
        <v>2810000</v>
      </c>
      <c r="F10" s="14">
        <f>'Cash Budget SupportingSchedules'!E59</f>
        <v>3050000</v>
      </c>
      <c r="G10" s="15">
        <f>'Cash Budget SupportingSchedules'!F59</f>
        <v>3050000</v>
      </c>
    </row>
    <row r="11" spans="2:7" x14ac:dyDescent="0.2">
      <c r="B11" s="95"/>
      <c r="C11" s="66" t="s">
        <v>37</v>
      </c>
      <c r="D11" s="14">
        <f>'Cash Budget SupportingSchedules'!C66</f>
        <v>850000</v>
      </c>
      <c r="E11" s="14">
        <f>'Cash Budget SupportingSchedules'!D66</f>
        <v>900000</v>
      </c>
      <c r="F11" s="14">
        <f>'Cash Budget SupportingSchedules'!E66</f>
        <v>950000</v>
      </c>
      <c r="G11" s="15">
        <f>'Cash Budget SupportingSchedules'!F66</f>
        <v>1100000</v>
      </c>
    </row>
    <row r="12" spans="2:7" x14ac:dyDescent="0.2">
      <c r="B12" s="95"/>
      <c r="C12" s="88" t="s">
        <v>147</v>
      </c>
      <c r="D12" s="14">
        <v>300000</v>
      </c>
      <c r="E12" s="14">
        <v>300000</v>
      </c>
      <c r="F12" s="14">
        <v>300000</v>
      </c>
      <c r="G12" s="15">
        <v>300000</v>
      </c>
    </row>
    <row r="13" spans="2:7" x14ac:dyDescent="0.2">
      <c r="B13" s="95"/>
      <c r="C13" s="88" t="s">
        <v>148</v>
      </c>
      <c r="D13" s="92" t="s">
        <v>62</v>
      </c>
      <c r="E13" s="92" t="s">
        <v>62</v>
      </c>
      <c r="F13" s="92" t="s">
        <v>62</v>
      </c>
      <c r="G13" s="15">
        <v>2000000</v>
      </c>
    </row>
    <row r="14" spans="2:7" x14ac:dyDescent="0.2">
      <c r="B14" s="89" t="s">
        <v>95</v>
      </c>
      <c r="C14" s="33" t="s">
        <v>38</v>
      </c>
      <c r="D14" s="27">
        <f>SUM(D8:D13)</f>
        <v>24612000</v>
      </c>
      <c r="E14" s="27">
        <f>SUM(E8:E13)</f>
        <v>25862000</v>
      </c>
      <c r="F14" s="27">
        <f>SUM(F8:F13)</f>
        <v>26828000</v>
      </c>
      <c r="G14" s="28">
        <f>SUM(G8:G13)</f>
        <v>29398000</v>
      </c>
    </row>
    <row r="15" spans="2:7" x14ac:dyDescent="0.2">
      <c r="B15" s="95"/>
      <c r="C15" s="91" t="s">
        <v>108</v>
      </c>
      <c r="D15" s="25">
        <f>D6-D14</f>
        <v>1038000</v>
      </c>
      <c r="E15" s="25">
        <f>E6-E14</f>
        <v>2876000</v>
      </c>
      <c r="F15" s="25">
        <f>F6-F14</f>
        <v>5748000</v>
      </c>
      <c r="G15" s="35">
        <f>G6-G14</f>
        <v>11450000</v>
      </c>
    </row>
    <row r="16" spans="2:7" x14ac:dyDescent="0.2">
      <c r="B16" s="96" t="s">
        <v>110</v>
      </c>
      <c r="C16" s="93" t="s">
        <v>109</v>
      </c>
      <c r="D16" s="92" t="s">
        <v>62</v>
      </c>
      <c r="E16" s="92" t="s">
        <v>62</v>
      </c>
      <c r="F16" s="92" t="s">
        <v>62</v>
      </c>
      <c r="G16" s="94" t="s">
        <v>62</v>
      </c>
    </row>
    <row r="17" spans="2:7" ht="13.5" thickBot="1" x14ac:dyDescent="0.25">
      <c r="B17" s="18"/>
      <c r="C17" s="71" t="s">
        <v>111</v>
      </c>
      <c r="D17" s="58">
        <f>D6-D14</f>
        <v>1038000</v>
      </c>
      <c r="E17" s="58">
        <f>E6-E14</f>
        <v>2876000</v>
      </c>
      <c r="F17" s="58">
        <f>F6-F14</f>
        <v>5748000</v>
      </c>
      <c r="G17" s="60">
        <f>G6-G14</f>
        <v>11450000</v>
      </c>
    </row>
    <row r="18" spans="2:7" ht="13.5" thickTop="1" x14ac:dyDescent="0.2">
      <c r="B18" s="31"/>
      <c r="C18" s="67"/>
      <c r="D18" s="6"/>
      <c r="E18" s="6"/>
      <c r="F18" s="6"/>
      <c r="G18" s="41"/>
    </row>
    <row r="21" spans="2:7" x14ac:dyDescent="0.2">
      <c r="B21" s="103" t="s">
        <v>112</v>
      </c>
      <c r="C21" s="103"/>
      <c r="D21" s="103"/>
      <c r="E21" s="103"/>
      <c r="F21" s="103"/>
      <c r="G21" s="103"/>
    </row>
    <row r="22" spans="2:7" x14ac:dyDescent="0.2">
      <c r="B22" s="30"/>
      <c r="C22" s="4"/>
      <c r="D22" s="11" t="s">
        <v>0</v>
      </c>
      <c r="E22" s="11" t="s">
        <v>18</v>
      </c>
      <c r="F22" s="11" t="s">
        <v>20</v>
      </c>
      <c r="G22" s="12" t="s">
        <v>21</v>
      </c>
    </row>
    <row r="23" spans="2:7" x14ac:dyDescent="0.2">
      <c r="B23" s="18"/>
      <c r="C23" s="102" t="s">
        <v>113</v>
      </c>
      <c r="D23" s="19"/>
      <c r="E23" s="19"/>
      <c r="F23" s="19"/>
      <c r="G23" s="20"/>
    </row>
    <row r="24" spans="2:7" x14ac:dyDescent="0.2">
      <c r="B24" s="18"/>
      <c r="C24" s="71" t="s">
        <v>114</v>
      </c>
      <c r="D24" s="25">
        <f>D17</f>
        <v>1038000</v>
      </c>
      <c r="E24" s="25">
        <f>E17</f>
        <v>2876000</v>
      </c>
      <c r="F24" s="25">
        <f>F17</f>
        <v>5748000</v>
      </c>
      <c r="G24" s="26">
        <f>G17</f>
        <v>11450000</v>
      </c>
    </row>
    <row r="25" spans="2:7" x14ac:dyDescent="0.2">
      <c r="B25" s="18"/>
      <c r="C25" s="71" t="s">
        <v>115</v>
      </c>
      <c r="D25" s="14">
        <f>'Operating Budget'!D23*'Operating Budget'!D27</f>
        <v>5184000</v>
      </c>
      <c r="E25" s="14">
        <f>'Operating Budget'!E23*'Operating Budget'!E27</f>
        <v>5760000</v>
      </c>
      <c r="F25" s="14">
        <f>'Operating Budget'!F23*'Operating Budget'!F27</f>
        <v>5760000</v>
      </c>
      <c r="G25" s="15">
        <f>'Operating Budget'!G23*'Operating Budget'!G27</f>
        <v>5256000</v>
      </c>
    </row>
    <row r="26" spans="2:7" x14ac:dyDescent="0.2">
      <c r="B26" s="18"/>
      <c r="C26" s="71" t="s">
        <v>116</v>
      </c>
      <c r="D26" s="14">
        <f>'Operating Budget'!D57</f>
        <v>4327741.935483871</v>
      </c>
      <c r="E26" s="14">
        <f>'Operating Budget'!E57</f>
        <v>4993548.3870967738</v>
      </c>
      <c r="F26" s="14">
        <f>'Operating Budget'!F57</f>
        <v>6658064.5161290318</v>
      </c>
      <c r="G26" s="15">
        <f>'Operating Budget'!G57</f>
        <v>3329032.2580645159</v>
      </c>
    </row>
    <row r="27" spans="2:7" x14ac:dyDescent="0.2">
      <c r="B27" s="18"/>
      <c r="C27" s="71" t="s">
        <v>118</v>
      </c>
      <c r="D27" s="14">
        <f>'Cash Budget SupportingSchedules'!C22</f>
        <v>3900000</v>
      </c>
      <c r="E27" s="14">
        <f>'Cash Budget SupportingSchedules'!D23</f>
        <v>4200000</v>
      </c>
      <c r="F27" s="14">
        <f>'Cash Budget SupportingSchedules'!E24</f>
        <v>4500000</v>
      </c>
      <c r="G27" s="15">
        <f>'Cash Budget SupportingSchedules'!F25</f>
        <v>5400000</v>
      </c>
    </row>
    <row r="28" spans="2:7" x14ac:dyDescent="0.2">
      <c r="B28" s="18"/>
      <c r="C28" s="72" t="s">
        <v>119</v>
      </c>
      <c r="D28" s="7">
        <f>33500000-'Cash Budget SupportingSchedules'!C58-'Cash Budget SupportingSchedules'!C65</f>
        <v>33100000</v>
      </c>
      <c r="E28" s="7">
        <f>D28-'Cash Budget SupportingSchedules'!D58-'Cash Budget SupportingSchedules'!D65</f>
        <v>32700000</v>
      </c>
      <c r="F28" s="7">
        <f>E28-'Cash Budget SupportingSchedules'!E58-'Cash Budget SupportingSchedules'!E65</f>
        <v>32300000</v>
      </c>
      <c r="G28" s="17">
        <f>F28+G13-'Cash Budget SupportingSchedules'!F58-'Cash Budget SupportingSchedules'!F65</f>
        <v>33900000</v>
      </c>
    </row>
    <row r="29" spans="2:7" x14ac:dyDescent="0.2">
      <c r="B29" s="18"/>
      <c r="C29" s="71" t="s">
        <v>120</v>
      </c>
      <c r="D29" s="25">
        <f>SUM(D24:D28)</f>
        <v>47549741.935483873</v>
      </c>
      <c r="E29" s="25">
        <f t="shared" ref="E29:G29" si="0">SUM(E24:E28)</f>
        <v>50529548.387096778</v>
      </c>
      <c r="F29" s="25">
        <f t="shared" si="0"/>
        <v>54966064.516129032</v>
      </c>
      <c r="G29" s="26">
        <f t="shared" si="0"/>
        <v>59335032.258064516</v>
      </c>
    </row>
    <row r="30" spans="2:7" x14ac:dyDescent="0.2">
      <c r="B30" s="18"/>
      <c r="C30" s="71"/>
      <c r="D30" s="19"/>
      <c r="E30" s="19"/>
      <c r="F30" s="19"/>
      <c r="G30" s="20"/>
    </row>
    <row r="31" spans="2:7" x14ac:dyDescent="0.2">
      <c r="B31" s="18"/>
      <c r="C31" s="102" t="s">
        <v>121</v>
      </c>
      <c r="D31" s="19"/>
      <c r="E31" s="19"/>
      <c r="F31" s="19"/>
      <c r="G31" s="20"/>
    </row>
    <row r="32" spans="2:7" x14ac:dyDescent="0.2">
      <c r="B32" s="18"/>
      <c r="C32" s="71" t="s">
        <v>122</v>
      </c>
      <c r="D32" s="25">
        <f>'Cash Budget SupportingSchedules'!C48</f>
        <v>9324000</v>
      </c>
      <c r="E32" s="25">
        <f>'Cash Budget SupportingSchedules'!D49</f>
        <v>8928000</v>
      </c>
      <c r="F32" s="25">
        <f>'Cash Budget SupportingSchedules'!E50</f>
        <v>9600000</v>
      </c>
      <c r="G32" s="26">
        <f>'Cash Budget SupportingSchedules'!F51</f>
        <v>9348000</v>
      </c>
    </row>
    <row r="33" spans="2:7" x14ac:dyDescent="0.2">
      <c r="B33" s="18"/>
      <c r="C33" s="71" t="s">
        <v>123</v>
      </c>
      <c r="D33" s="14">
        <v>27000000</v>
      </c>
      <c r="E33" s="14">
        <v>27000000</v>
      </c>
      <c r="F33" s="14">
        <v>27000000</v>
      </c>
      <c r="G33" s="15">
        <v>27000000</v>
      </c>
    </row>
    <row r="34" spans="2:7" x14ac:dyDescent="0.2">
      <c r="B34" s="18"/>
      <c r="C34" s="72" t="s">
        <v>124</v>
      </c>
      <c r="D34" s="7">
        <f>8058000+'Operating Budget'!D87-D12-72000</f>
        <v>11225741.935483873</v>
      </c>
      <c r="E34" s="7">
        <f>D34+'Operating Budget'!E87-'Financial Budget'!E12+576000</f>
        <v>14601548.387096774</v>
      </c>
      <c r="F34" s="7">
        <f>E34+'Operating Budget'!F87-'Financial Budget'!F12</f>
        <v>18366064.516129032</v>
      </c>
      <c r="G34" s="17">
        <f>F34+'Operating Budget'!G87-'Financial Budget'!G12-504000</f>
        <v>22987032.258064516</v>
      </c>
    </row>
    <row r="35" spans="2:7" x14ac:dyDescent="0.2">
      <c r="B35" s="31"/>
      <c r="C35" s="72" t="s">
        <v>125</v>
      </c>
      <c r="D35" s="36">
        <f>SUM(D32:D34)</f>
        <v>47549741.935483873</v>
      </c>
      <c r="E35" s="36">
        <f t="shared" ref="E35:G35" si="1">SUM(E32:E34)</f>
        <v>50529548.387096778</v>
      </c>
      <c r="F35" s="36">
        <f t="shared" si="1"/>
        <v>54966064.516129032</v>
      </c>
      <c r="G35" s="37">
        <f t="shared" si="1"/>
        <v>59335032.258064516</v>
      </c>
    </row>
    <row r="36" spans="2:7" x14ac:dyDescent="0.2">
      <c r="D36" s="74"/>
      <c r="E36" s="74"/>
      <c r="F36" s="74"/>
      <c r="G36" s="74"/>
    </row>
    <row r="37" spans="2:7" x14ac:dyDescent="0.2">
      <c r="D37" s="114"/>
      <c r="E37" s="114"/>
      <c r="F37" s="114"/>
      <c r="G37" s="114"/>
    </row>
    <row r="39" spans="2:7" x14ac:dyDescent="0.2">
      <c r="D39" s="74"/>
    </row>
    <row r="41" spans="2:7" x14ac:dyDescent="0.2">
      <c r="D41" s="74"/>
    </row>
    <row r="43" spans="2:7" x14ac:dyDescent="0.2">
      <c r="D43" s="74"/>
      <c r="E43" s="74"/>
      <c r="F43" s="74"/>
      <c r="G43" s="74"/>
    </row>
    <row r="44" spans="2:7" x14ac:dyDescent="0.2">
      <c r="E44" s="74"/>
    </row>
  </sheetData>
  <mergeCells count="2">
    <mergeCell ref="B2:C2"/>
    <mergeCell ref="B21:G21"/>
  </mergeCells>
  <phoneticPr fontId="6" type="noConversion"/>
  <pageMargins left="0.75" right="0.75" top="1" bottom="1" header="0.5" footer="0.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A2:F66"/>
  <sheetViews>
    <sheetView workbookViewId="0"/>
  </sheetViews>
  <sheetFormatPr defaultColWidth="11" defaultRowHeight="12.75" x14ac:dyDescent="0.2"/>
  <cols>
    <col min="1" max="1" width="1.875" style="3" customWidth="1"/>
    <col min="2" max="2" width="27.375" customWidth="1"/>
    <col min="3" max="6" width="13.75" bestFit="1" customWidth="1"/>
    <col min="7" max="7" width="11.25" customWidth="1"/>
  </cols>
  <sheetData>
    <row r="2" spans="1:6" x14ac:dyDescent="0.2">
      <c r="A2" s="2"/>
      <c r="B2" s="45" t="s">
        <v>70</v>
      </c>
    </row>
    <row r="3" spans="1:6" x14ac:dyDescent="0.2">
      <c r="A3" s="39"/>
      <c r="B3" s="47"/>
      <c r="C3" s="11" t="s">
        <v>57</v>
      </c>
      <c r="D3" s="11" t="s">
        <v>58</v>
      </c>
      <c r="E3" s="11" t="s">
        <v>59</v>
      </c>
      <c r="F3" s="12" t="s">
        <v>60</v>
      </c>
    </row>
    <row r="4" spans="1:6" x14ac:dyDescent="0.2">
      <c r="A4" s="39"/>
      <c r="B4" s="48" t="s">
        <v>71</v>
      </c>
      <c r="C4" s="14"/>
      <c r="D4" s="14"/>
      <c r="E4" s="14"/>
      <c r="F4" s="15"/>
    </row>
    <row r="5" spans="1:6" x14ac:dyDescent="0.2">
      <c r="A5" s="19"/>
      <c r="B5" s="49" t="s">
        <v>72</v>
      </c>
      <c r="C5" s="25">
        <f>PRODUCT(55000,400,0.15)</f>
        <v>3300000</v>
      </c>
      <c r="D5" s="50"/>
      <c r="E5" s="50"/>
      <c r="F5" s="51"/>
    </row>
    <row r="6" spans="1:6" x14ac:dyDescent="0.2">
      <c r="A6" s="19"/>
      <c r="B6" s="52" t="s">
        <v>73</v>
      </c>
      <c r="C6" s="19"/>
      <c r="D6" s="19"/>
      <c r="E6" s="19"/>
      <c r="F6" s="20"/>
    </row>
    <row r="7" spans="1:6" x14ac:dyDescent="0.2">
      <c r="A7" s="19"/>
      <c r="B7" s="53" t="s">
        <v>41</v>
      </c>
      <c r="C7" s="25">
        <f>'Operating Budget'!D6*0.85</f>
        <v>22100000</v>
      </c>
      <c r="D7" s="19"/>
      <c r="E7" s="19"/>
      <c r="F7" s="20"/>
    </row>
    <row r="8" spans="1:6" x14ac:dyDescent="0.2">
      <c r="A8" s="19"/>
      <c r="B8" s="53" t="s">
        <v>42</v>
      </c>
      <c r="C8" s="19"/>
      <c r="D8" s="25">
        <f>'Operating Budget'!D6*0.15</f>
        <v>3900000</v>
      </c>
      <c r="E8" s="19"/>
      <c r="F8" s="20"/>
    </row>
    <row r="9" spans="1:6" x14ac:dyDescent="0.2">
      <c r="A9" s="19"/>
      <c r="B9" s="54" t="s">
        <v>74</v>
      </c>
      <c r="C9" s="19"/>
      <c r="D9" s="19"/>
      <c r="E9" s="19"/>
      <c r="F9" s="20"/>
    </row>
    <row r="10" spans="1:6" x14ac:dyDescent="0.2">
      <c r="A10" s="19"/>
      <c r="B10" s="53" t="s">
        <v>40</v>
      </c>
      <c r="C10" s="19"/>
      <c r="D10" s="25">
        <f>'Operating Budget'!E6*0.85</f>
        <v>23800000</v>
      </c>
      <c r="E10" s="25"/>
      <c r="F10" s="20"/>
    </row>
    <row r="11" spans="1:6" x14ac:dyDescent="0.2">
      <c r="A11" s="19"/>
      <c r="B11" s="53" t="s">
        <v>43</v>
      </c>
      <c r="C11" s="19"/>
      <c r="D11" s="25"/>
      <c r="E11" s="25">
        <f>'Operating Budget'!E6*0.15</f>
        <v>4200000</v>
      </c>
      <c r="F11" s="20"/>
    </row>
    <row r="12" spans="1:6" x14ac:dyDescent="0.2">
      <c r="A12" s="19"/>
      <c r="B12" s="48" t="s">
        <v>75</v>
      </c>
      <c r="C12" s="19"/>
      <c r="D12" s="19"/>
      <c r="E12" s="19"/>
      <c r="F12" s="20"/>
    </row>
    <row r="13" spans="1:6" x14ac:dyDescent="0.2">
      <c r="A13" s="19"/>
      <c r="B13" s="53" t="s">
        <v>53</v>
      </c>
      <c r="C13" s="19"/>
      <c r="D13" s="19"/>
      <c r="E13" s="25">
        <f>'Operating Budget'!F6*0.85</f>
        <v>25500000</v>
      </c>
      <c r="F13" s="26"/>
    </row>
    <row r="14" spans="1:6" x14ac:dyDescent="0.2">
      <c r="A14" s="39"/>
      <c r="B14" s="53" t="s">
        <v>54</v>
      </c>
      <c r="C14" s="19"/>
      <c r="D14" s="19"/>
      <c r="E14" s="25"/>
      <c r="F14" s="26">
        <f>'Operating Budget'!F6*0.15</f>
        <v>4500000</v>
      </c>
    </row>
    <row r="15" spans="1:6" x14ac:dyDescent="0.2">
      <c r="A15" s="39"/>
      <c r="B15" s="48" t="s">
        <v>76</v>
      </c>
      <c r="C15" s="19"/>
      <c r="D15" s="19"/>
      <c r="E15" s="19"/>
      <c r="F15" s="20"/>
    </row>
    <row r="16" spans="1:6" x14ac:dyDescent="0.2">
      <c r="A16" s="39"/>
      <c r="B16" s="53" t="s">
        <v>55</v>
      </c>
      <c r="C16" s="19"/>
      <c r="D16" s="19"/>
      <c r="E16" s="19"/>
      <c r="F16" s="26">
        <f>'Operating Budget'!G6*0.85</f>
        <v>30600000</v>
      </c>
    </row>
    <row r="17" spans="1:6" x14ac:dyDescent="0.2">
      <c r="A17" s="39"/>
      <c r="B17" s="55" t="s">
        <v>39</v>
      </c>
      <c r="C17" s="27">
        <f>SUM(C5+C7)</f>
        <v>25400000</v>
      </c>
      <c r="D17" s="27">
        <f>SUM(D8+D10)</f>
        <v>27700000</v>
      </c>
      <c r="E17" s="27">
        <f>SUM(E11+E13)</f>
        <v>29700000</v>
      </c>
      <c r="F17" s="28">
        <f>SUM(F14+F16)</f>
        <v>35100000</v>
      </c>
    </row>
    <row r="18" spans="1:6" x14ac:dyDescent="0.2">
      <c r="B18" s="46"/>
    </row>
    <row r="19" spans="1:6" x14ac:dyDescent="0.2">
      <c r="B19" s="46"/>
    </row>
    <row r="20" spans="1:6" x14ac:dyDescent="0.2">
      <c r="B20" s="111" t="s">
        <v>44</v>
      </c>
      <c r="C20" s="110"/>
      <c r="D20" s="6"/>
      <c r="E20" s="6"/>
      <c r="F20" s="6"/>
    </row>
    <row r="21" spans="1:6" x14ac:dyDescent="0.2">
      <c r="B21" s="48"/>
      <c r="C21" s="56" t="s">
        <v>45</v>
      </c>
      <c r="D21" s="56" t="s">
        <v>46</v>
      </c>
      <c r="E21" s="56" t="s">
        <v>47</v>
      </c>
      <c r="F21" s="59" t="s">
        <v>48</v>
      </c>
    </row>
    <row r="22" spans="1:6" ht="13.5" thickBot="1" x14ac:dyDescent="0.25">
      <c r="B22" s="48" t="s">
        <v>49</v>
      </c>
      <c r="C22" s="57">
        <f>'Operating Budget'!D6*0.15</f>
        <v>3900000</v>
      </c>
      <c r="D22" s="25"/>
      <c r="E22" s="25"/>
      <c r="F22" s="26"/>
    </row>
    <row r="23" spans="1:6" ht="14.25" thickTop="1" thickBot="1" x14ac:dyDescent="0.25">
      <c r="B23" s="48" t="s">
        <v>50</v>
      </c>
      <c r="C23" s="25"/>
      <c r="D23" s="58">
        <f>'Operating Budget'!E6*0.15</f>
        <v>4200000</v>
      </c>
      <c r="E23" s="25"/>
      <c r="F23" s="26"/>
    </row>
    <row r="24" spans="1:6" ht="14.25" thickTop="1" thickBot="1" x14ac:dyDescent="0.25">
      <c r="B24" s="48" t="s">
        <v>51</v>
      </c>
      <c r="C24" s="25"/>
      <c r="D24" s="25"/>
      <c r="E24" s="58">
        <f>'Operating Budget'!F6*0.15</f>
        <v>4500000</v>
      </c>
      <c r="F24" s="26"/>
    </row>
    <row r="25" spans="1:6" ht="14.25" thickTop="1" thickBot="1" x14ac:dyDescent="0.25">
      <c r="B25" s="48" t="s">
        <v>52</v>
      </c>
      <c r="C25" s="25"/>
      <c r="D25" s="25"/>
      <c r="E25" s="25"/>
      <c r="F25" s="60">
        <f>'Operating Budget'!G6*0.15</f>
        <v>5400000</v>
      </c>
    </row>
    <row r="26" spans="1:6" ht="13.5" thickTop="1" x14ac:dyDescent="0.2">
      <c r="B26" s="61"/>
      <c r="C26" s="36"/>
      <c r="D26" s="36"/>
      <c r="E26" s="36"/>
      <c r="F26" s="37"/>
    </row>
    <row r="27" spans="1:6" x14ac:dyDescent="0.2">
      <c r="B27" s="46"/>
    </row>
    <row r="28" spans="1:6" x14ac:dyDescent="0.2">
      <c r="B28" s="46"/>
    </row>
    <row r="29" spans="1:6" x14ac:dyDescent="0.2">
      <c r="B29" s="87" t="s">
        <v>106</v>
      </c>
      <c r="C29" s="69"/>
    </row>
    <row r="30" spans="1:6" x14ac:dyDescent="0.2">
      <c r="B30" s="47"/>
      <c r="C30" s="11" t="s">
        <v>57</v>
      </c>
      <c r="D30" s="11" t="s">
        <v>58</v>
      </c>
      <c r="E30" s="11" t="s">
        <v>59</v>
      </c>
      <c r="F30" s="12" t="s">
        <v>60</v>
      </c>
    </row>
    <row r="31" spans="1:6" x14ac:dyDescent="0.2">
      <c r="B31" s="48" t="s">
        <v>149</v>
      </c>
      <c r="C31" s="25">
        <v>7248000</v>
      </c>
      <c r="D31" s="19"/>
      <c r="E31" s="19"/>
      <c r="F31" s="20"/>
    </row>
    <row r="32" spans="1:6" x14ac:dyDescent="0.2">
      <c r="B32" s="48" t="s">
        <v>0</v>
      </c>
      <c r="C32" s="19"/>
      <c r="D32" s="19"/>
      <c r="E32" s="19"/>
      <c r="F32" s="20"/>
    </row>
    <row r="33" spans="2:6" x14ac:dyDescent="0.2">
      <c r="B33" s="49" t="s">
        <v>16</v>
      </c>
      <c r="C33" s="25">
        <f>'Operating Budget'!D28*0.5</f>
        <v>9324000</v>
      </c>
      <c r="D33" s="19"/>
      <c r="E33" s="19"/>
      <c r="F33" s="20"/>
    </row>
    <row r="34" spans="2:6" x14ac:dyDescent="0.2">
      <c r="B34" s="49" t="s">
        <v>17</v>
      </c>
      <c r="C34" s="19"/>
      <c r="D34" s="25">
        <f>'Operating Budget'!D28*0.5</f>
        <v>9324000</v>
      </c>
      <c r="E34" s="25"/>
      <c r="F34" s="26"/>
    </row>
    <row r="35" spans="2:6" x14ac:dyDescent="0.2">
      <c r="B35" s="48" t="s">
        <v>18</v>
      </c>
      <c r="C35" s="19"/>
      <c r="D35" s="25"/>
      <c r="E35" s="25"/>
      <c r="F35" s="26"/>
    </row>
    <row r="36" spans="2:6" x14ac:dyDescent="0.2">
      <c r="B36" s="49" t="s">
        <v>19</v>
      </c>
      <c r="C36" s="19"/>
      <c r="D36" s="25">
        <f>'Operating Budget'!E28*0.5</f>
        <v>8928000</v>
      </c>
      <c r="E36" s="25"/>
      <c r="F36" s="26"/>
    </row>
    <row r="37" spans="2:6" x14ac:dyDescent="0.2">
      <c r="B37" s="49" t="s">
        <v>19</v>
      </c>
      <c r="C37" s="19"/>
      <c r="D37" s="25"/>
      <c r="E37" s="25">
        <f>'Operating Budget'!E28*0.5</f>
        <v>8928000</v>
      </c>
      <c r="F37" s="26"/>
    </row>
    <row r="38" spans="2:6" x14ac:dyDescent="0.2">
      <c r="B38" s="62" t="s">
        <v>20</v>
      </c>
      <c r="C38" s="19"/>
      <c r="D38" s="25"/>
      <c r="E38" s="25"/>
      <c r="F38" s="26"/>
    </row>
    <row r="39" spans="2:6" x14ac:dyDescent="0.2">
      <c r="B39" s="49" t="s">
        <v>22</v>
      </c>
      <c r="C39" s="19"/>
      <c r="D39" s="25"/>
      <c r="E39" s="25">
        <f>'Operating Budget'!F28*0.5</f>
        <v>9600000</v>
      </c>
      <c r="F39" s="26"/>
    </row>
    <row r="40" spans="2:6" x14ac:dyDescent="0.2">
      <c r="B40" s="49" t="s">
        <v>22</v>
      </c>
      <c r="C40" s="19"/>
      <c r="D40" s="25"/>
      <c r="E40" s="25"/>
      <c r="F40" s="26">
        <f>'Operating Budget'!F28*0.5</f>
        <v>9600000</v>
      </c>
    </row>
    <row r="41" spans="2:6" x14ac:dyDescent="0.2">
      <c r="B41" s="48" t="s">
        <v>21</v>
      </c>
      <c r="C41" s="19"/>
      <c r="D41" s="25"/>
      <c r="E41" s="25"/>
      <c r="F41" s="26"/>
    </row>
    <row r="42" spans="2:6" x14ac:dyDescent="0.2">
      <c r="B42" s="49" t="s">
        <v>23</v>
      </c>
      <c r="C42" s="19"/>
      <c r="D42" s="25"/>
      <c r="E42" s="25"/>
      <c r="F42" s="26">
        <f>'Operating Budget'!G28*0.5</f>
        <v>9348000</v>
      </c>
    </row>
    <row r="43" spans="2:6" x14ac:dyDescent="0.2">
      <c r="B43" s="55" t="s">
        <v>24</v>
      </c>
      <c r="C43" s="27">
        <f>SUM(C31+C33)</f>
        <v>16572000</v>
      </c>
      <c r="D43" s="27">
        <f>SUM(D34+D36)</f>
        <v>18252000</v>
      </c>
      <c r="E43" s="27">
        <f>SUM(E37+E39)</f>
        <v>18528000</v>
      </c>
      <c r="F43" s="28">
        <f>SUM(F40+F42)</f>
        <v>18948000</v>
      </c>
    </row>
    <row r="44" spans="2:6" x14ac:dyDescent="0.2">
      <c r="B44" s="46"/>
    </row>
    <row r="45" spans="2:6" x14ac:dyDescent="0.2">
      <c r="B45" s="46"/>
    </row>
    <row r="46" spans="2:6" x14ac:dyDescent="0.2">
      <c r="B46" s="45" t="s">
        <v>28</v>
      </c>
    </row>
    <row r="47" spans="2:6" x14ac:dyDescent="0.2">
      <c r="B47" s="40"/>
      <c r="C47" s="11" t="s">
        <v>57</v>
      </c>
      <c r="D47" s="11" t="s">
        <v>58</v>
      </c>
      <c r="E47" s="11" t="s">
        <v>59</v>
      </c>
      <c r="F47" s="12" t="s">
        <v>60</v>
      </c>
    </row>
    <row r="48" spans="2:6" ht="13.5" thickBot="1" x14ac:dyDescent="0.25">
      <c r="B48" s="64" t="s">
        <v>30</v>
      </c>
      <c r="C48" s="57">
        <f>'Operating Budget'!D28*0.5</f>
        <v>9324000</v>
      </c>
      <c r="D48" s="25"/>
      <c r="E48" s="25"/>
      <c r="F48" s="26"/>
    </row>
    <row r="49" spans="2:6" ht="14.25" thickTop="1" thickBot="1" x14ac:dyDescent="0.25">
      <c r="B49" s="64" t="s">
        <v>29</v>
      </c>
      <c r="C49" s="25"/>
      <c r="D49" s="58">
        <f>'Operating Budget'!E28*0.5</f>
        <v>8928000</v>
      </c>
      <c r="E49" s="25"/>
      <c r="F49" s="26"/>
    </row>
    <row r="50" spans="2:6" ht="14.25" thickTop="1" thickBot="1" x14ac:dyDescent="0.25">
      <c r="B50" s="64" t="s">
        <v>31</v>
      </c>
      <c r="C50" s="25"/>
      <c r="D50" s="25"/>
      <c r="E50" s="58">
        <f>'Operating Budget'!F28*0.5</f>
        <v>9600000</v>
      </c>
      <c r="F50" s="26"/>
    </row>
    <row r="51" spans="2:6" ht="14.25" thickTop="1" thickBot="1" x14ac:dyDescent="0.25">
      <c r="B51" s="64" t="s">
        <v>32</v>
      </c>
      <c r="C51" s="25"/>
      <c r="D51" s="25"/>
      <c r="E51" s="25"/>
      <c r="F51" s="60">
        <f>'Operating Budget'!G28*0.5</f>
        <v>9348000</v>
      </c>
    </row>
    <row r="52" spans="2:6" ht="13.5" thickTop="1" x14ac:dyDescent="0.2">
      <c r="B52" s="65"/>
      <c r="C52" s="6"/>
      <c r="D52" s="6"/>
      <c r="E52" s="6"/>
      <c r="F52" s="41"/>
    </row>
    <row r="55" spans="2:6" x14ac:dyDescent="0.2">
      <c r="B55" s="112" t="s">
        <v>25</v>
      </c>
      <c r="C55" s="105"/>
    </row>
    <row r="56" spans="2:6" x14ac:dyDescent="0.2">
      <c r="B56" s="47"/>
      <c r="C56" s="11" t="s">
        <v>57</v>
      </c>
      <c r="D56" s="11" t="s">
        <v>58</v>
      </c>
      <c r="E56" s="11" t="s">
        <v>59</v>
      </c>
      <c r="F56" s="12" t="s">
        <v>60</v>
      </c>
    </row>
    <row r="57" spans="2:6" x14ac:dyDescent="0.2">
      <c r="B57" s="48" t="s">
        <v>26</v>
      </c>
      <c r="C57" s="25">
        <f>'Operating Budget'!D46</f>
        <v>3340000</v>
      </c>
      <c r="D57" s="25">
        <f>'Operating Budget'!E46</f>
        <v>3160000</v>
      </c>
      <c r="E57" s="25">
        <f>'Operating Budget'!F46</f>
        <v>3400000</v>
      </c>
      <c r="F57" s="26">
        <f>'Operating Budget'!G46</f>
        <v>3400000</v>
      </c>
    </row>
    <row r="58" spans="2:6" x14ac:dyDescent="0.2">
      <c r="B58" s="48" t="s">
        <v>150</v>
      </c>
      <c r="C58" s="14">
        <v>350000</v>
      </c>
      <c r="D58" s="14">
        <v>350000</v>
      </c>
      <c r="E58" s="14">
        <v>350000</v>
      </c>
      <c r="F58" s="15">
        <v>350000</v>
      </c>
    </row>
    <row r="59" spans="2:6" x14ac:dyDescent="0.2">
      <c r="B59" s="63" t="s">
        <v>27</v>
      </c>
      <c r="C59" s="27">
        <f>C57-C58</f>
        <v>2990000</v>
      </c>
      <c r="D59" s="27">
        <f>D57-D58</f>
        <v>2810000</v>
      </c>
      <c r="E59" s="27">
        <f>E57-E58</f>
        <v>3050000</v>
      </c>
      <c r="F59" s="28">
        <f>F57-F58</f>
        <v>3050000</v>
      </c>
    </row>
    <row r="62" spans="2:6" x14ac:dyDescent="0.2">
      <c r="B62" s="87" t="s">
        <v>8</v>
      </c>
      <c r="C62" s="69"/>
      <c r="D62" s="69"/>
    </row>
    <row r="63" spans="2:6" x14ac:dyDescent="0.2">
      <c r="B63" s="40"/>
      <c r="C63" s="11" t="s">
        <v>57</v>
      </c>
      <c r="D63" s="11" t="s">
        <v>58</v>
      </c>
      <c r="E63" s="11" t="s">
        <v>59</v>
      </c>
      <c r="F63" s="12" t="s">
        <v>60</v>
      </c>
    </row>
    <row r="64" spans="2:6" x14ac:dyDescent="0.2">
      <c r="B64" s="64" t="s">
        <v>9</v>
      </c>
      <c r="C64" s="25">
        <f>'Operating Budget'!D78</f>
        <v>900000</v>
      </c>
      <c r="D64" s="25">
        <f>'Operating Budget'!E78</f>
        <v>950000</v>
      </c>
      <c r="E64" s="25">
        <f>'Operating Budget'!F78</f>
        <v>1000000</v>
      </c>
      <c r="F64" s="26">
        <f>'Operating Budget'!G78</f>
        <v>1150000</v>
      </c>
    </row>
    <row r="65" spans="2:6" x14ac:dyDescent="0.2">
      <c r="B65" s="48" t="s">
        <v>150</v>
      </c>
      <c r="C65" s="25">
        <v>50000</v>
      </c>
      <c r="D65" s="25">
        <v>50000</v>
      </c>
      <c r="E65" s="25">
        <v>50000</v>
      </c>
      <c r="F65" s="26">
        <v>50000</v>
      </c>
    </row>
    <row r="66" spans="2:6" x14ac:dyDescent="0.2">
      <c r="B66" s="63" t="s">
        <v>10</v>
      </c>
      <c r="C66" s="27">
        <f>C64-C65</f>
        <v>850000</v>
      </c>
      <c r="D66" s="27">
        <f>D64-D65</f>
        <v>900000</v>
      </c>
      <c r="E66" s="27">
        <f>E64-E65</f>
        <v>950000</v>
      </c>
      <c r="F66" s="28">
        <f>F64-F65</f>
        <v>1100000</v>
      </c>
    </row>
  </sheetData>
  <mergeCells count="2">
    <mergeCell ref="B20:C20"/>
    <mergeCell ref="B55:C55"/>
  </mergeCells>
  <phoneticPr fontId="6" type="noConversion"/>
  <pageMargins left="0.25" right="0.25" top="0.75" bottom="0.75" header="0.3" footer="0.3"/>
  <pageSetup orientation="portrait" horizontalDpi="4294967292" verticalDpi="4294967292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Operating Budget</vt:lpstr>
      <vt:lpstr>Financial Budget</vt:lpstr>
      <vt:lpstr>Cash Budget SupportingSchedules</vt:lpstr>
    </vt:vector>
  </TitlesOfParts>
  <Company>University of Nebraska-Lincoln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Radtke</dc:creator>
  <cp:lastModifiedBy>dcosgrove2</cp:lastModifiedBy>
  <cp:lastPrinted>2009-10-22T15:18:38Z</cp:lastPrinted>
  <dcterms:created xsi:type="dcterms:W3CDTF">2008-03-27T00:48:58Z</dcterms:created>
  <dcterms:modified xsi:type="dcterms:W3CDTF">2011-10-08T01:44:56Z</dcterms:modified>
</cp:coreProperties>
</file>