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autoCompressPictures="0"/>
  <bookViews>
    <workbookView xWindow="1920" yWindow="140" windowWidth="21040" windowHeight="14880"/>
  </bookViews>
  <sheets>
    <sheet name="BASE case" sheetId="1" r:id="rId1"/>
    <sheet name="no oil" sheetId="2" r:id="rId2"/>
    <sheet name="worst case" sheetId="3" r:id="rId3"/>
  </sheets>
  <definedNames>
    <definedName name="_Fill" hidden="1">'BASE case'!$B$21:$IV$21</definedName>
    <definedName name="_Regression_Int" localSheetId="0" hidden="1">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1" i="3" l="1"/>
  <c r="H31" i="3"/>
  <c r="G31" i="3"/>
  <c r="F31" i="3"/>
  <c r="E31" i="3"/>
  <c r="D31" i="3"/>
  <c r="C31" i="3"/>
  <c r="B31" i="3"/>
  <c r="B32" i="3"/>
  <c r="B35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B22" i="3"/>
  <c r="F17" i="3"/>
  <c r="C23" i="3"/>
  <c r="B8" i="3"/>
  <c r="I31" i="2"/>
  <c r="H31" i="2"/>
  <c r="G31" i="2"/>
  <c r="F31" i="2"/>
  <c r="E31" i="2"/>
  <c r="D31" i="2"/>
  <c r="C31" i="2"/>
  <c r="B22" i="2"/>
  <c r="B31" i="2"/>
  <c r="B32" i="2"/>
  <c r="C24" i="2"/>
  <c r="C29" i="2"/>
  <c r="B8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F17" i="2"/>
  <c r="C23" i="2"/>
  <c r="C26" i="2"/>
  <c r="C26" i="3"/>
  <c r="D23" i="3"/>
  <c r="B36" i="3"/>
  <c r="B38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B35" i="2"/>
  <c r="B36" i="2"/>
  <c r="B38" i="2"/>
  <c r="C27" i="2"/>
  <c r="C28" i="2"/>
  <c r="D23" i="2"/>
  <c r="F17" i="1"/>
  <c r="C23" i="1"/>
  <c r="B31" i="1"/>
  <c r="B32" i="1"/>
  <c r="B35" i="1"/>
  <c r="B40" i="3"/>
  <c r="B39" i="3"/>
  <c r="D26" i="3"/>
  <c r="E23" i="3"/>
  <c r="C27" i="3"/>
  <c r="C28" i="3"/>
  <c r="C30" i="2"/>
  <c r="C32" i="2"/>
  <c r="D26" i="2"/>
  <c r="E23" i="2"/>
  <c r="B40" i="2"/>
  <c r="B39" i="2"/>
  <c r="C24" i="1"/>
  <c r="C29" i="1"/>
  <c r="B8" i="1"/>
  <c r="D29" i="1"/>
  <c r="C30" i="3"/>
  <c r="C32" i="3"/>
  <c r="D27" i="3"/>
  <c r="D28" i="3"/>
  <c r="F23" i="3"/>
  <c r="E26" i="3"/>
  <c r="C33" i="2"/>
  <c r="C35" i="2"/>
  <c r="F23" i="2"/>
  <c r="E26" i="2"/>
  <c r="D27" i="2"/>
  <c r="D28" i="2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D30" i="3"/>
  <c r="D32" i="3"/>
  <c r="F26" i="3"/>
  <c r="G23" i="3"/>
  <c r="E27" i="3"/>
  <c r="E28" i="3"/>
  <c r="C33" i="3"/>
  <c r="D30" i="2"/>
  <c r="D32" i="2"/>
  <c r="E27" i="2"/>
  <c r="E28" i="2"/>
  <c r="F26" i="2"/>
  <c r="G23" i="2"/>
  <c r="C36" i="2"/>
  <c r="C38" i="2"/>
  <c r="E30" i="3"/>
  <c r="E32" i="3"/>
  <c r="C35" i="3"/>
  <c r="C36" i="3"/>
  <c r="C38" i="3"/>
  <c r="H23" i="3"/>
  <c r="G26" i="3"/>
  <c r="F27" i="3"/>
  <c r="F28" i="3"/>
  <c r="D33" i="3"/>
  <c r="D35" i="3"/>
  <c r="D33" i="2"/>
  <c r="D35" i="2"/>
  <c r="D36" i="2"/>
  <c r="D38" i="2"/>
  <c r="F27" i="2"/>
  <c r="F28" i="2"/>
  <c r="C39" i="2"/>
  <c r="C40" i="2"/>
  <c r="H23" i="2"/>
  <c r="G26" i="2"/>
  <c r="E30" i="2"/>
  <c r="E32" i="2"/>
  <c r="B22" i="1"/>
  <c r="C26" i="1"/>
  <c r="D23" i="1"/>
  <c r="E23" i="1"/>
  <c r="C31" i="1"/>
  <c r="D31" i="1"/>
  <c r="E31" i="1"/>
  <c r="F31" i="1"/>
  <c r="G31" i="1"/>
  <c r="H31" i="1"/>
  <c r="I31" i="1"/>
  <c r="D36" i="3"/>
  <c r="D38" i="3"/>
  <c r="D39" i="3"/>
  <c r="C39" i="3"/>
  <c r="C40" i="3"/>
  <c r="F30" i="3"/>
  <c r="F32" i="3"/>
  <c r="G27" i="3"/>
  <c r="G28" i="3"/>
  <c r="H26" i="3"/>
  <c r="I23" i="3"/>
  <c r="E33" i="3"/>
  <c r="E35" i="3"/>
  <c r="D39" i="2"/>
  <c r="D40" i="2"/>
  <c r="E33" i="2"/>
  <c r="F30" i="2"/>
  <c r="F32" i="2"/>
  <c r="G27" i="2"/>
  <c r="G28" i="2"/>
  <c r="H26" i="2"/>
  <c r="I23" i="2"/>
  <c r="C27" i="1"/>
  <c r="C28" i="1"/>
  <c r="C30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B36" i="1"/>
  <c r="B38" i="1"/>
  <c r="D26" i="1"/>
  <c r="F23" i="1"/>
  <c r="D40" i="3"/>
  <c r="F33" i="3"/>
  <c r="F35" i="3"/>
  <c r="G30" i="3"/>
  <c r="G32" i="3"/>
  <c r="E36" i="3"/>
  <c r="E38" i="3"/>
  <c r="J23" i="3"/>
  <c r="I26" i="3"/>
  <c r="H27" i="3"/>
  <c r="H28" i="3"/>
  <c r="E35" i="2"/>
  <c r="E36" i="2"/>
  <c r="E38" i="2"/>
  <c r="G30" i="2"/>
  <c r="G32" i="2"/>
  <c r="F33" i="2"/>
  <c r="F35" i="2"/>
  <c r="I26" i="2"/>
  <c r="J23" i="2"/>
  <c r="H27" i="2"/>
  <c r="H28" i="2"/>
  <c r="C32" i="1"/>
  <c r="E26" i="1"/>
  <c r="B39" i="1"/>
  <c r="B40" i="1"/>
  <c r="F26" i="1"/>
  <c r="G23" i="1"/>
  <c r="D27" i="1"/>
  <c r="D28" i="1"/>
  <c r="H30" i="3"/>
  <c r="H32" i="3"/>
  <c r="G33" i="3"/>
  <c r="G35" i="3"/>
  <c r="J26" i="3"/>
  <c r="K23" i="3"/>
  <c r="E39" i="3"/>
  <c r="E40" i="3"/>
  <c r="I27" i="3"/>
  <c r="I28" i="3"/>
  <c r="F36" i="3"/>
  <c r="F38" i="3"/>
  <c r="E39" i="2"/>
  <c r="E40" i="2"/>
  <c r="J26" i="2"/>
  <c r="K23" i="2"/>
  <c r="I27" i="2"/>
  <c r="I28" i="2"/>
  <c r="H30" i="2"/>
  <c r="H32" i="2"/>
  <c r="F36" i="2"/>
  <c r="F38" i="2"/>
  <c r="G33" i="2"/>
  <c r="G35" i="2"/>
  <c r="D30" i="1"/>
  <c r="D32" i="1"/>
  <c r="D33" i="1"/>
  <c r="D35" i="1"/>
  <c r="E27" i="1"/>
  <c r="E28" i="1"/>
  <c r="C33" i="1"/>
  <c r="C35" i="1"/>
  <c r="H23" i="1"/>
  <c r="G26" i="1"/>
  <c r="F27" i="1"/>
  <c r="F28" i="1"/>
  <c r="F30" i="1"/>
  <c r="G36" i="3"/>
  <c r="G38" i="3"/>
  <c r="H33" i="3"/>
  <c r="H35" i="3"/>
  <c r="H36" i="3"/>
  <c r="H38" i="3"/>
  <c r="I30" i="3"/>
  <c r="I32" i="3"/>
  <c r="K26" i="3"/>
  <c r="L23" i="3"/>
  <c r="F39" i="3"/>
  <c r="L3" i="3"/>
  <c r="J27" i="3"/>
  <c r="J28" i="3"/>
  <c r="G39" i="3"/>
  <c r="G40" i="3"/>
  <c r="F40" i="3"/>
  <c r="I30" i="2"/>
  <c r="I32" i="2"/>
  <c r="F39" i="2"/>
  <c r="G36" i="2"/>
  <c r="G38" i="2"/>
  <c r="L3" i="2"/>
  <c r="F40" i="2"/>
  <c r="H33" i="2"/>
  <c r="H35" i="2"/>
  <c r="G40" i="2"/>
  <c r="K26" i="2"/>
  <c r="L23" i="2"/>
  <c r="J27" i="2"/>
  <c r="J28" i="2"/>
  <c r="E30" i="1"/>
  <c r="E32" i="1"/>
  <c r="D36" i="1"/>
  <c r="D38" i="1"/>
  <c r="F32" i="1"/>
  <c r="C36" i="1"/>
  <c r="C38" i="1"/>
  <c r="C40" i="1"/>
  <c r="G27" i="1"/>
  <c r="G28" i="1"/>
  <c r="G30" i="1"/>
  <c r="H26" i="1"/>
  <c r="I23" i="1"/>
  <c r="I33" i="3"/>
  <c r="H39" i="3"/>
  <c r="H40" i="3"/>
  <c r="J30" i="3"/>
  <c r="J32" i="3"/>
  <c r="K27" i="3"/>
  <c r="K28" i="3"/>
  <c r="L26" i="3"/>
  <c r="M23" i="3"/>
  <c r="G39" i="2"/>
  <c r="H36" i="2"/>
  <c r="H38" i="2"/>
  <c r="H39" i="2"/>
  <c r="H40" i="2"/>
  <c r="I33" i="2"/>
  <c r="J30" i="2"/>
  <c r="J32" i="2"/>
  <c r="L26" i="2"/>
  <c r="M23" i="2"/>
  <c r="K27" i="2"/>
  <c r="K28" i="2"/>
  <c r="E33" i="1"/>
  <c r="E35" i="1"/>
  <c r="F33" i="1"/>
  <c r="F35" i="1"/>
  <c r="F36" i="1"/>
  <c r="F38" i="1"/>
  <c r="D39" i="1"/>
  <c r="D40" i="1"/>
  <c r="C39" i="1"/>
  <c r="G32" i="1"/>
  <c r="H27" i="1"/>
  <c r="H28" i="1"/>
  <c r="H30" i="1"/>
  <c r="J23" i="1"/>
  <c r="I26" i="1"/>
  <c r="K30" i="3"/>
  <c r="K32" i="3"/>
  <c r="N23" i="3"/>
  <c r="M26" i="3"/>
  <c r="I35" i="3"/>
  <c r="I36" i="3"/>
  <c r="I38" i="3"/>
  <c r="J33" i="3"/>
  <c r="L27" i="3"/>
  <c r="L28" i="3"/>
  <c r="K30" i="2"/>
  <c r="K32" i="2"/>
  <c r="J33" i="2"/>
  <c r="J35" i="2"/>
  <c r="J36" i="2"/>
  <c r="J38" i="2"/>
  <c r="I35" i="2"/>
  <c r="I36" i="2"/>
  <c r="I38" i="2"/>
  <c r="L27" i="2"/>
  <c r="L28" i="2"/>
  <c r="N23" i="2"/>
  <c r="M26" i="2"/>
  <c r="E36" i="1"/>
  <c r="E38" i="1"/>
  <c r="E39" i="1"/>
  <c r="G33" i="1"/>
  <c r="G35" i="1"/>
  <c r="H32" i="1"/>
  <c r="J26" i="1"/>
  <c r="K23" i="1"/>
  <c r="I27" i="1"/>
  <c r="I28" i="1"/>
  <c r="I30" i="1"/>
  <c r="I40" i="3"/>
  <c r="I39" i="3"/>
  <c r="L30" i="3"/>
  <c r="L32" i="3"/>
  <c r="K33" i="3"/>
  <c r="J35" i="3"/>
  <c r="J36" i="3"/>
  <c r="J38" i="3"/>
  <c r="M27" i="3"/>
  <c r="M28" i="3"/>
  <c r="N26" i="3"/>
  <c r="O23" i="3"/>
  <c r="J39" i="2"/>
  <c r="J40" i="2"/>
  <c r="I39" i="2"/>
  <c r="I40" i="2"/>
  <c r="K33" i="2"/>
  <c r="L30" i="2"/>
  <c r="L32" i="2"/>
  <c r="M27" i="2"/>
  <c r="M28" i="2"/>
  <c r="N26" i="2"/>
  <c r="O23" i="2"/>
  <c r="F39" i="1"/>
  <c r="F40" i="1"/>
  <c r="E40" i="1"/>
  <c r="H33" i="1"/>
  <c r="H35" i="1"/>
  <c r="I32" i="1"/>
  <c r="L23" i="1"/>
  <c r="K26" i="1"/>
  <c r="G36" i="1"/>
  <c r="G38" i="1"/>
  <c r="L3" i="1"/>
  <c r="J27" i="1"/>
  <c r="J28" i="1"/>
  <c r="J30" i="1"/>
  <c r="J39" i="3"/>
  <c r="J40" i="3"/>
  <c r="M30" i="3"/>
  <c r="M32" i="3"/>
  <c r="O26" i="3"/>
  <c r="P23" i="3"/>
  <c r="K35" i="3"/>
  <c r="K36" i="3"/>
  <c r="K38" i="3"/>
  <c r="N27" i="3"/>
  <c r="N28" i="3"/>
  <c r="L33" i="3"/>
  <c r="L35" i="3"/>
  <c r="O26" i="2"/>
  <c r="P23" i="2"/>
  <c r="K35" i="2"/>
  <c r="K36" i="2"/>
  <c r="K38" i="2"/>
  <c r="L33" i="2"/>
  <c r="L35" i="2"/>
  <c r="M30" i="2"/>
  <c r="M32" i="2"/>
  <c r="N27" i="2"/>
  <c r="N28" i="2"/>
  <c r="H36" i="1"/>
  <c r="H38" i="1"/>
  <c r="H40" i="1"/>
  <c r="I33" i="1"/>
  <c r="I35" i="1"/>
  <c r="G40" i="1"/>
  <c r="J32" i="1"/>
  <c r="G39" i="1"/>
  <c r="K27" i="1"/>
  <c r="K28" i="1"/>
  <c r="K30" i="1"/>
  <c r="L26" i="1"/>
  <c r="M23" i="1"/>
  <c r="K40" i="3"/>
  <c r="K39" i="3"/>
  <c r="N30" i="3"/>
  <c r="N32" i="3"/>
  <c r="M33" i="3"/>
  <c r="M35" i="3"/>
  <c r="O27" i="3"/>
  <c r="O28" i="3"/>
  <c r="L36" i="3"/>
  <c r="L38" i="3"/>
  <c r="P26" i="3"/>
  <c r="Q23" i="3"/>
  <c r="L36" i="2"/>
  <c r="L38" i="2"/>
  <c r="N30" i="2"/>
  <c r="N32" i="2"/>
  <c r="M33" i="2"/>
  <c r="K39" i="2"/>
  <c r="K40" i="2"/>
  <c r="L39" i="2"/>
  <c r="L40" i="2"/>
  <c r="P26" i="2"/>
  <c r="Q23" i="2"/>
  <c r="O27" i="2"/>
  <c r="O28" i="2"/>
  <c r="H39" i="1"/>
  <c r="J33" i="1"/>
  <c r="J35" i="1"/>
  <c r="J36" i="1"/>
  <c r="J38" i="1"/>
  <c r="I36" i="1"/>
  <c r="I38" i="1"/>
  <c r="I40" i="1"/>
  <c r="K32" i="1"/>
  <c r="N23" i="1"/>
  <c r="M26" i="1"/>
  <c r="L27" i="1"/>
  <c r="L28" i="1"/>
  <c r="L30" i="1"/>
  <c r="M36" i="3"/>
  <c r="M38" i="3"/>
  <c r="M40" i="3"/>
  <c r="O30" i="3"/>
  <c r="O32" i="3"/>
  <c r="N33" i="3"/>
  <c r="P27" i="3"/>
  <c r="P28" i="3"/>
  <c r="L39" i="3"/>
  <c r="L40" i="3"/>
  <c r="Q26" i="3"/>
  <c r="R23" i="3"/>
  <c r="O30" i="2"/>
  <c r="O32" i="2"/>
  <c r="N33" i="2"/>
  <c r="M35" i="2"/>
  <c r="M36" i="2"/>
  <c r="M38" i="2"/>
  <c r="P27" i="2"/>
  <c r="P28" i="2"/>
  <c r="R23" i="2"/>
  <c r="Q26" i="2"/>
  <c r="K33" i="1"/>
  <c r="K35" i="1"/>
  <c r="K36" i="1"/>
  <c r="K38" i="1"/>
  <c r="I39" i="1"/>
  <c r="J40" i="1"/>
  <c r="L32" i="1"/>
  <c r="J39" i="1"/>
  <c r="N26" i="1"/>
  <c r="O23" i="1"/>
  <c r="M27" i="1"/>
  <c r="M28" i="1"/>
  <c r="M30" i="1"/>
  <c r="M39" i="3"/>
  <c r="P30" i="3"/>
  <c r="P32" i="3"/>
  <c r="N35" i="3"/>
  <c r="N36" i="3"/>
  <c r="N38" i="3"/>
  <c r="R26" i="3"/>
  <c r="S23" i="3"/>
  <c r="O33" i="3"/>
  <c r="O35" i="3"/>
  <c r="O36" i="3"/>
  <c r="O38" i="3"/>
  <c r="Q27" i="3"/>
  <c r="Q28" i="3"/>
  <c r="M39" i="2"/>
  <c r="M40" i="2"/>
  <c r="N35" i="2"/>
  <c r="N36" i="2"/>
  <c r="N38" i="2"/>
  <c r="O33" i="2"/>
  <c r="O35" i="2"/>
  <c r="P30" i="2"/>
  <c r="P32" i="2"/>
  <c r="Q27" i="2"/>
  <c r="Q28" i="2"/>
  <c r="R26" i="2"/>
  <c r="S23" i="2"/>
  <c r="L33" i="1"/>
  <c r="L35" i="1"/>
  <c r="L36" i="1"/>
  <c r="L38" i="1"/>
  <c r="L40" i="1"/>
  <c r="K40" i="1"/>
  <c r="M32" i="1"/>
  <c r="N27" i="1"/>
  <c r="N28" i="1"/>
  <c r="P23" i="1"/>
  <c r="O26" i="1"/>
  <c r="K39" i="1"/>
  <c r="O39" i="3"/>
  <c r="O40" i="3"/>
  <c r="Q30" i="3"/>
  <c r="Q32" i="3"/>
  <c r="N39" i="3"/>
  <c r="N40" i="3"/>
  <c r="S26" i="3"/>
  <c r="T23" i="3"/>
  <c r="R27" i="3"/>
  <c r="R28" i="3"/>
  <c r="P33" i="3"/>
  <c r="P35" i="3"/>
  <c r="P33" i="2"/>
  <c r="Q30" i="2"/>
  <c r="Q32" i="2"/>
  <c r="O36" i="2"/>
  <c r="O38" i="2"/>
  <c r="S26" i="2"/>
  <c r="T23" i="2"/>
  <c r="R27" i="2"/>
  <c r="R28" i="2"/>
  <c r="N40" i="2"/>
  <c r="N39" i="2"/>
  <c r="N30" i="1"/>
  <c r="N32" i="1"/>
  <c r="N33" i="1"/>
  <c r="N35" i="1"/>
  <c r="M33" i="1"/>
  <c r="M35" i="1"/>
  <c r="L39" i="1"/>
  <c r="P26" i="1"/>
  <c r="Q23" i="1"/>
  <c r="O27" i="1"/>
  <c r="O28" i="1"/>
  <c r="O30" i="1"/>
  <c r="R30" i="3"/>
  <c r="R32" i="3"/>
  <c r="Q33" i="3"/>
  <c r="S27" i="3"/>
  <c r="S28" i="3"/>
  <c r="P36" i="3"/>
  <c r="P38" i="3"/>
  <c r="T26" i="3"/>
  <c r="U23" i="3"/>
  <c r="R30" i="2"/>
  <c r="R32" i="2"/>
  <c r="Q33" i="2"/>
  <c r="S27" i="2"/>
  <c r="S28" i="2"/>
  <c r="O40" i="2"/>
  <c r="O39" i="2"/>
  <c r="P35" i="2"/>
  <c r="P36" i="2"/>
  <c r="P38" i="2"/>
  <c r="T26" i="2"/>
  <c r="U23" i="2"/>
  <c r="M36" i="1"/>
  <c r="M38" i="1"/>
  <c r="O32" i="1"/>
  <c r="R23" i="1"/>
  <c r="Q26" i="1"/>
  <c r="N36" i="1"/>
  <c r="N38" i="1"/>
  <c r="P27" i="1"/>
  <c r="P28" i="1"/>
  <c r="P30" i="1"/>
  <c r="R33" i="3"/>
  <c r="R35" i="3"/>
  <c r="R36" i="3"/>
  <c r="R38" i="3"/>
  <c r="P39" i="3"/>
  <c r="P40" i="3"/>
  <c r="S30" i="3"/>
  <c r="S32" i="3"/>
  <c r="Q35" i="3"/>
  <c r="Q36" i="3"/>
  <c r="Q38" i="3"/>
  <c r="V23" i="3"/>
  <c r="U26" i="3"/>
  <c r="T27" i="3"/>
  <c r="T28" i="3"/>
  <c r="R33" i="2"/>
  <c r="R35" i="2"/>
  <c r="R36" i="2"/>
  <c r="R38" i="2"/>
  <c r="S30" i="2"/>
  <c r="S32" i="2"/>
  <c r="V23" i="2"/>
  <c r="U26" i="2"/>
  <c r="T27" i="2"/>
  <c r="T28" i="2"/>
  <c r="Q35" i="2"/>
  <c r="Q36" i="2"/>
  <c r="Q38" i="2"/>
  <c r="P40" i="2"/>
  <c r="P39" i="2"/>
  <c r="O33" i="1"/>
  <c r="O35" i="1"/>
  <c r="M40" i="1"/>
  <c r="M39" i="1"/>
  <c r="N40" i="1"/>
  <c r="P32" i="1"/>
  <c r="Q27" i="1"/>
  <c r="Q28" i="1"/>
  <c r="Q30" i="1"/>
  <c r="N39" i="1"/>
  <c r="R26" i="1"/>
  <c r="S23" i="1"/>
  <c r="T30" i="3"/>
  <c r="T32" i="3"/>
  <c r="S33" i="3"/>
  <c r="S35" i="3"/>
  <c r="Q39" i="3"/>
  <c r="Q40" i="3"/>
  <c r="R40" i="3"/>
  <c r="R39" i="3"/>
  <c r="U27" i="3"/>
  <c r="U28" i="3"/>
  <c r="V26" i="3"/>
  <c r="W23" i="3"/>
  <c r="Q40" i="2"/>
  <c r="Q39" i="2"/>
  <c r="T30" i="2"/>
  <c r="T32" i="2"/>
  <c r="S33" i="2"/>
  <c r="R39" i="2"/>
  <c r="R40" i="2"/>
  <c r="W23" i="2"/>
  <c r="V26" i="2"/>
  <c r="U27" i="2"/>
  <c r="U28" i="2"/>
  <c r="P33" i="1"/>
  <c r="P35" i="1"/>
  <c r="Q32" i="1"/>
  <c r="R27" i="1"/>
  <c r="R28" i="1"/>
  <c r="R30" i="1"/>
  <c r="T23" i="1"/>
  <c r="S26" i="1"/>
  <c r="O36" i="1"/>
  <c r="O38" i="1"/>
  <c r="O40" i="1"/>
  <c r="U30" i="3"/>
  <c r="U32" i="3"/>
  <c r="T33" i="3"/>
  <c r="T35" i="3"/>
  <c r="T36" i="3"/>
  <c r="T38" i="3"/>
  <c r="W26" i="3"/>
  <c r="X23" i="3"/>
  <c r="S36" i="3"/>
  <c r="S38" i="3"/>
  <c r="V27" i="3"/>
  <c r="V28" i="3"/>
  <c r="T33" i="2"/>
  <c r="S35" i="2"/>
  <c r="S36" i="2"/>
  <c r="S38" i="2"/>
  <c r="U30" i="2"/>
  <c r="U32" i="2"/>
  <c r="V27" i="2"/>
  <c r="V28" i="2"/>
  <c r="X23" i="2"/>
  <c r="W26" i="2"/>
  <c r="P36" i="1"/>
  <c r="P38" i="1"/>
  <c r="P40" i="1"/>
  <c r="Q33" i="1"/>
  <c r="Q35" i="1"/>
  <c r="R32" i="1"/>
  <c r="O39" i="1"/>
  <c r="T26" i="1"/>
  <c r="U23" i="1"/>
  <c r="S27" i="1"/>
  <c r="S28" i="1"/>
  <c r="S30" i="1"/>
  <c r="T39" i="3"/>
  <c r="T40" i="3"/>
  <c r="V30" i="3"/>
  <c r="V32" i="3"/>
  <c r="U33" i="3"/>
  <c r="U35" i="3"/>
  <c r="U36" i="3"/>
  <c r="U38" i="3"/>
  <c r="S39" i="3"/>
  <c r="S40" i="3"/>
  <c r="W27" i="3"/>
  <c r="W28" i="3"/>
  <c r="X26" i="3"/>
  <c r="Y23" i="3"/>
  <c r="U33" i="2"/>
  <c r="S40" i="2"/>
  <c r="S39" i="2"/>
  <c r="V30" i="2"/>
  <c r="V32" i="2"/>
  <c r="W27" i="2"/>
  <c r="W28" i="2"/>
  <c r="T35" i="2"/>
  <c r="T36" i="2"/>
  <c r="T38" i="2"/>
  <c r="X26" i="2"/>
  <c r="Y23" i="2"/>
  <c r="P39" i="1"/>
  <c r="R33" i="1"/>
  <c r="R35" i="1"/>
  <c r="S32" i="1"/>
  <c r="V23" i="1"/>
  <c r="U26" i="1"/>
  <c r="Q36" i="1"/>
  <c r="Q38" i="1"/>
  <c r="Q40" i="1"/>
  <c r="T27" i="1"/>
  <c r="T28" i="1"/>
  <c r="T30" i="1"/>
  <c r="U40" i="3"/>
  <c r="U39" i="3"/>
  <c r="W30" i="3"/>
  <c r="W32" i="3"/>
  <c r="V33" i="3"/>
  <c r="V35" i="3"/>
  <c r="Z23" i="3"/>
  <c r="Y26" i="3"/>
  <c r="X27" i="3"/>
  <c r="X28" i="3"/>
  <c r="V33" i="2"/>
  <c r="W30" i="2"/>
  <c r="W32" i="2"/>
  <c r="Y26" i="2"/>
  <c r="Z23" i="2"/>
  <c r="X27" i="2"/>
  <c r="X28" i="2"/>
  <c r="U35" i="2"/>
  <c r="U36" i="2"/>
  <c r="U38" i="2"/>
  <c r="T40" i="2"/>
  <c r="T39" i="2"/>
  <c r="R36" i="1"/>
  <c r="R38" i="1"/>
  <c r="R40" i="1"/>
  <c r="S33" i="1"/>
  <c r="S35" i="1"/>
  <c r="T32" i="1"/>
  <c r="Q39" i="1"/>
  <c r="V26" i="1"/>
  <c r="W23" i="1"/>
  <c r="U27" i="1"/>
  <c r="U28" i="1"/>
  <c r="U30" i="1"/>
  <c r="X30" i="3"/>
  <c r="X32" i="3"/>
  <c r="Z26" i="3"/>
  <c r="AA23" i="3"/>
  <c r="AA26" i="3"/>
  <c r="V36" i="3"/>
  <c r="V38" i="3"/>
  <c r="W33" i="3"/>
  <c r="Y27" i="3"/>
  <c r="Y28" i="3"/>
  <c r="X30" i="2"/>
  <c r="X32" i="2"/>
  <c r="W33" i="2"/>
  <c r="Y27" i="2"/>
  <c r="Y28" i="2"/>
  <c r="Z26" i="2"/>
  <c r="AA23" i="2"/>
  <c r="AA26" i="2"/>
  <c r="V35" i="2"/>
  <c r="V36" i="2"/>
  <c r="V38" i="2"/>
  <c r="U40" i="2"/>
  <c r="U39" i="2"/>
  <c r="R39" i="1"/>
  <c r="S36" i="1"/>
  <c r="S38" i="1"/>
  <c r="S40" i="1"/>
  <c r="T33" i="1"/>
  <c r="T35" i="1"/>
  <c r="U32" i="1"/>
  <c r="S39" i="1"/>
  <c r="X23" i="1"/>
  <c r="W26" i="1"/>
  <c r="V27" i="1"/>
  <c r="V28" i="1"/>
  <c r="V30" i="1"/>
  <c r="Y30" i="3"/>
  <c r="Y32" i="3"/>
  <c r="X33" i="3"/>
  <c r="X35" i="3"/>
  <c r="W35" i="3"/>
  <c r="W36" i="3"/>
  <c r="W38" i="3"/>
  <c r="V40" i="3"/>
  <c r="V39" i="3"/>
  <c r="Z27" i="3"/>
  <c r="Z28" i="3"/>
  <c r="AA27" i="3"/>
  <c r="AA28" i="3"/>
  <c r="V39" i="2"/>
  <c r="V40" i="2"/>
  <c r="Y30" i="2"/>
  <c r="Y32" i="2"/>
  <c r="W35" i="2"/>
  <c r="W36" i="2"/>
  <c r="W38" i="2"/>
  <c r="AA27" i="2"/>
  <c r="AA28" i="2"/>
  <c r="X33" i="2"/>
  <c r="Z27" i="2"/>
  <c r="Z28" i="2"/>
  <c r="U33" i="1"/>
  <c r="U35" i="1"/>
  <c r="T36" i="1"/>
  <c r="T38" i="1"/>
  <c r="T40" i="1"/>
  <c r="V32" i="1"/>
  <c r="W27" i="1"/>
  <c r="W28" i="1"/>
  <c r="W30" i="1"/>
  <c r="X26" i="1"/>
  <c r="Y23" i="1"/>
  <c r="X36" i="3"/>
  <c r="X38" i="3"/>
  <c r="W39" i="3"/>
  <c r="W40" i="3"/>
  <c r="X39" i="3"/>
  <c r="X40" i="3"/>
  <c r="Z30" i="3"/>
  <c r="Z32" i="3"/>
  <c r="Y33" i="3"/>
  <c r="Y35" i="3"/>
  <c r="Y36" i="3"/>
  <c r="Y38" i="3"/>
  <c r="AA30" i="3"/>
  <c r="AA32" i="3"/>
  <c r="W40" i="2"/>
  <c r="W39" i="2"/>
  <c r="Z30" i="2"/>
  <c r="Z32" i="2"/>
  <c r="Y33" i="2"/>
  <c r="AA30" i="2"/>
  <c r="AA32" i="2"/>
  <c r="X35" i="2"/>
  <c r="X36" i="2"/>
  <c r="X38" i="2"/>
  <c r="T39" i="1"/>
  <c r="V33" i="1"/>
  <c r="V35" i="1"/>
  <c r="V36" i="1"/>
  <c r="V38" i="1"/>
  <c r="U36" i="1"/>
  <c r="U38" i="1"/>
  <c r="W32" i="1"/>
  <c r="W33" i="1"/>
  <c r="X27" i="1"/>
  <c r="X28" i="1"/>
  <c r="X30" i="1"/>
  <c r="Z23" i="1"/>
  <c r="Y26" i="1"/>
  <c r="Z33" i="3"/>
  <c r="Z35" i="3"/>
  <c r="Z36" i="3"/>
  <c r="Z38" i="3"/>
  <c r="Y40" i="3"/>
  <c r="Y39" i="3"/>
  <c r="AA33" i="3"/>
  <c r="AA35" i="3"/>
  <c r="AA36" i="3"/>
  <c r="AA38" i="3"/>
  <c r="X40" i="2"/>
  <c r="X39" i="2"/>
  <c r="Z33" i="2"/>
  <c r="Z35" i="2"/>
  <c r="Z36" i="2"/>
  <c r="Z38" i="2"/>
  <c r="Y35" i="2"/>
  <c r="Y36" i="2"/>
  <c r="Y38" i="2"/>
  <c r="AA33" i="2"/>
  <c r="W35" i="1"/>
  <c r="U40" i="1"/>
  <c r="U39" i="1"/>
  <c r="V40" i="1"/>
  <c r="X32" i="1"/>
  <c r="V39" i="1"/>
  <c r="Z26" i="1"/>
  <c r="AA23" i="1"/>
  <c r="AA26" i="1"/>
  <c r="Y27" i="1"/>
  <c r="Y28" i="1"/>
  <c r="Y30" i="1"/>
  <c r="AA39" i="3"/>
  <c r="L8" i="3"/>
  <c r="L10" i="3"/>
  <c r="L5" i="3"/>
  <c r="AA40" i="3"/>
  <c r="Z40" i="3"/>
  <c r="Z39" i="3"/>
  <c r="AA35" i="2"/>
  <c r="AA36" i="2"/>
  <c r="AA38" i="2"/>
  <c r="Y39" i="2"/>
  <c r="Y40" i="2"/>
  <c r="Z39" i="2"/>
  <c r="Z40" i="2"/>
  <c r="X33" i="1"/>
  <c r="X35" i="1"/>
  <c r="W36" i="1"/>
  <c r="W38" i="1"/>
  <c r="Y32" i="1"/>
  <c r="Z27" i="1"/>
  <c r="Z28" i="1"/>
  <c r="Z30" i="1"/>
  <c r="AA27" i="1"/>
  <c r="AA28" i="1"/>
  <c r="AA30" i="1"/>
  <c r="AA40" i="2"/>
  <c r="L10" i="2"/>
  <c r="AA39" i="2"/>
  <c r="L5" i="2"/>
  <c r="L8" i="2"/>
  <c r="X36" i="1"/>
  <c r="X38" i="1"/>
  <c r="Y33" i="1"/>
  <c r="Y35" i="1"/>
  <c r="W40" i="1"/>
  <c r="W39" i="1"/>
  <c r="X40" i="1"/>
  <c r="Z32" i="1"/>
  <c r="Z33" i="1"/>
  <c r="AA32" i="1"/>
  <c r="X39" i="1"/>
  <c r="AA33" i="1"/>
  <c r="AA35" i="1"/>
  <c r="Z35" i="1"/>
  <c r="Y36" i="1"/>
  <c r="Y38" i="1"/>
  <c r="Y40" i="1"/>
  <c r="Z36" i="1"/>
  <c r="Z38" i="1"/>
  <c r="AA36" i="1"/>
  <c r="AA38" i="1"/>
  <c r="Z40" i="1"/>
  <c r="Y39" i="1"/>
  <c r="Z39" i="1"/>
  <c r="L10" i="1"/>
  <c r="L5" i="1"/>
  <c r="L8" i="1"/>
  <c r="AA40" i="1"/>
  <c r="AA39" i="1"/>
</calcChain>
</file>

<file path=xl/sharedStrings.xml><?xml version="1.0" encoding="utf-8"?>
<sst xmlns="http://schemas.openxmlformats.org/spreadsheetml/2006/main" count="371" uniqueCount="51">
  <si>
    <t>WELL</t>
  </si>
  <si>
    <t>****ASSUMPTIONS****</t>
  </si>
  <si>
    <t xml:space="preserve">     ENVIRONMENT</t>
  </si>
  <si>
    <t>****RESULTS****</t>
  </si>
  <si>
    <t>-</t>
  </si>
  <si>
    <t>---------------------------</t>
  </si>
  <si>
    <t>TOTAL WELL COST</t>
  </si>
  <si>
    <t>!</t>
  </si>
  <si>
    <t>FEDERAL TAX RATE</t>
  </si>
  <si>
    <t>EQUITY PAYOUT (AFTER-TAX) =</t>
  </si>
  <si>
    <t>MONTHS</t>
  </si>
  <si>
    <t>STATE TAX RATE</t>
  </si>
  <si>
    <t>SEVERANCE TAX RATE</t>
  </si>
  <si>
    <t>INTERNAL RATE OF RETURN (CF AFTER-TAX) =</t>
  </si>
  <si>
    <t>MONTHLY OPERATING COSTS</t>
  </si>
  <si>
    <t>COUNTY TAX RATE</t>
  </si>
  <si>
    <t>ANNUAL LEASE EXPENSE</t>
  </si>
  <si>
    <t>INFLTION FACTOR-WELL EXPENSE</t>
  </si>
  <si>
    <t>CUMULATIVE CASH FLOW AFTER-TAX</t>
  </si>
  <si>
    <t>ROYALTIES</t>
  </si>
  <si>
    <t>YEAR</t>
  </si>
  <si>
    <t>INITIAL INVESTMENT</t>
  </si>
  <si>
    <t>GROSS REVENUE</t>
  </si>
  <si>
    <t xml:space="preserve">  LESS: ROYALTIES</t>
  </si>
  <si>
    <t>NET REVENUE</t>
  </si>
  <si>
    <t xml:space="preserve">  OPERATING EXPENSES</t>
  </si>
  <si>
    <t xml:space="preserve">  SEVERANCE &amp; COUNTY TAX</t>
  </si>
  <si>
    <t xml:space="preserve">  DEPRECIATION</t>
  </si>
  <si>
    <t>PROFIT BEFORE TAX</t>
  </si>
  <si>
    <t xml:space="preserve">  DEPLETION</t>
  </si>
  <si>
    <t xml:space="preserve">  FEDERAL INC. TAX</t>
  </si>
  <si>
    <t>PROFIT AFTER TAX</t>
  </si>
  <si>
    <t xml:space="preserve">AFTER TAX CASH FLOW </t>
  </si>
  <si>
    <t>CUMUL. AFT TAX CASH FLOW</t>
  </si>
  <si>
    <t>NPV THROUGH YEAR N</t>
  </si>
  <si>
    <t>{PANELOFF}/fs{esc}{esc}{esc}B:\RSKTMP.WK1~/qy</t>
  </si>
  <si>
    <t xml:space="preserve">    1st YEAR BOPD</t>
  </si>
  <si>
    <t>PRICE PER BARREL OIL</t>
  </si>
  <si>
    <t>PRODUCTION DECLINE EACH YEAR</t>
  </si>
  <si>
    <t>PRODUCTION(BARRELS OIL) in thousands</t>
  </si>
  <si>
    <t>INTANGIBLE COST(% of TOTAL)</t>
  </si>
  <si>
    <t xml:space="preserve">    FIND OIL(0=NO,1=YES)?</t>
  </si>
  <si>
    <t>NET PRESENT VALUE (CFAT) @ 25%</t>
  </si>
  <si>
    <t>CPI INFLATION INDEX</t>
  </si>
  <si>
    <t>PRODUCTION DATA</t>
  </si>
  <si>
    <t>OIL PRICE DATA</t>
  </si>
  <si>
    <t>1ST YEAR OF PRICE</t>
  </si>
  <si>
    <t xml:space="preserve"> INCREASE</t>
  </si>
  <si>
    <t>API GRAVITY INDEX</t>
  </si>
  <si>
    <t>ACTUAL PRICE BASED ON API</t>
  </si>
  <si>
    <t>CURRENT BENCH PRICE($/bbl)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</si>
</sst>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4" formatCode="General_)"/>
    <numFmt numFmtId="165" formatCode="0.00_)"/>
    <numFmt numFmtId="166" formatCode="0.0000%"/>
    <numFmt numFmtId="167" formatCode="0.000_)"/>
    <numFmt numFmtId="168" formatCode="#,##0.0_);\(#,##0.0\)"/>
    <numFmt numFmtId="169" formatCode="0.0000_)"/>
    <numFmt numFmtId="170" formatCode="0_)"/>
    <numFmt numFmtId="171" formatCode="&quot;$&quot;#,##0.000_);\(&quot;$&quot;#,##0.000\)"/>
    <numFmt numFmtId="172" formatCode="0.0%"/>
    <numFmt numFmtId="173" formatCode="0.0_)"/>
  </numFmts>
  <fonts count="5" x14ac:knownFonts="1">
    <font>
      <sz val="10"/>
      <name val="Courier"/>
    </font>
    <font>
      <sz val="10"/>
      <name val="Courier"/>
      <family val="3"/>
    </font>
    <font>
      <u/>
      <sz val="10"/>
      <name val="Courier"/>
      <family val="3"/>
    </font>
    <font>
      <b/>
      <sz val="10"/>
      <name val="Courier"/>
      <family val="3"/>
    </font>
    <font>
      <i/>
      <sz val="10"/>
      <name val="Courier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164" fontId="0" fillId="0" borderId="0"/>
    <xf numFmtId="44" fontId="1" fillId="0" borderId="0" applyFont="0" applyFill="0" applyBorder="0" applyAlignment="0" applyProtection="0"/>
  </cellStyleXfs>
  <cellXfs count="28">
    <xf numFmtId="164" fontId="0" fillId="0" borderId="0" xfId="0"/>
    <xf numFmtId="164" fontId="0" fillId="0" borderId="0" xfId="0" applyAlignment="1" applyProtection="1">
      <alignment horizontal="center"/>
    </xf>
    <xf numFmtId="165" fontId="0" fillId="0" borderId="0" xfId="0" applyNumberFormat="1" applyAlignment="1" applyProtection="1">
      <alignment horizontal="left"/>
    </xf>
    <xf numFmtId="164" fontId="0" fillId="0" borderId="0" xfId="0" applyAlignment="1" applyProtection="1">
      <alignment horizontal="left"/>
    </xf>
    <xf numFmtId="37" fontId="0" fillId="0" borderId="0" xfId="0" applyNumberFormat="1" applyProtection="1"/>
    <xf numFmtId="165" fontId="0" fillId="0" borderId="0" xfId="0" applyNumberFormat="1" applyAlignment="1" applyProtection="1">
      <alignment horizontal="fill"/>
    </xf>
    <xf numFmtId="164" fontId="0" fillId="0" borderId="0" xfId="0" applyAlignment="1" applyProtection="1">
      <alignment horizontal="fill"/>
    </xf>
    <xf numFmtId="5" fontId="0" fillId="0" borderId="0" xfId="0" applyNumberFormat="1" applyProtection="1"/>
    <xf numFmtId="10" fontId="0" fillId="0" borderId="0" xfId="0" applyNumberFormat="1" applyProtection="1"/>
    <xf numFmtId="165" fontId="0" fillId="0" borderId="0" xfId="0" applyNumberFormat="1" applyProtection="1"/>
    <xf numFmtId="164" fontId="0" fillId="0" borderId="0" xfId="0" applyProtection="1"/>
    <xf numFmtId="166" fontId="0" fillId="0" borderId="0" xfId="0" applyNumberFormat="1" applyProtection="1"/>
    <xf numFmtId="7" fontId="0" fillId="0" borderId="0" xfId="0" applyNumberFormat="1" applyProtection="1"/>
    <xf numFmtId="167" fontId="0" fillId="0" borderId="0" xfId="0" applyNumberFormat="1" applyProtection="1"/>
    <xf numFmtId="168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71" fontId="0" fillId="0" borderId="0" xfId="0" applyNumberFormat="1" applyProtection="1"/>
    <xf numFmtId="172" fontId="0" fillId="0" borderId="0" xfId="0" applyNumberFormat="1" applyProtection="1"/>
    <xf numFmtId="9" fontId="0" fillId="0" borderId="0" xfId="0" applyNumberFormat="1" applyProtection="1"/>
    <xf numFmtId="173" fontId="0" fillId="0" borderId="0" xfId="0" applyNumberFormat="1" applyProtection="1"/>
    <xf numFmtId="172" fontId="0" fillId="0" borderId="0" xfId="0" applyNumberFormat="1"/>
    <xf numFmtId="165" fontId="0" fillId="0" borderId="0" xfId="0" quotePrefix="1" applyNumberFormat="1" applyAlignment="1" applyProtection="1">
      <alignment horizontal="left"/>
    </xf>
    <xf numFmtId="165" fontId="2" fillId="0" borderId="0" xfId="0" applyNumberFormat="1" applyFont="1" applyAlignment="1" applyProtection="1">
      <alignment horizontal="left"/>
    </xf>
    <xf numFmtId="164" fontId="3" fillId="0" borderId="0" xfId="0" applyFont="1" applyAlignment="1" applyProtection="1">
      <alignment horizontal="center"/>
    </xf>
    <xf numFmtId="164" fontId="3" fillId="0" borderId="0" xfId="0" applyFont="1" applyAlignment="1" applyProtection="1">
      <alignment horizontal="left"/>
    </xf>
    <xf numFmtId="165" fontId="4" fillId="0" borderId="0" xfId="0" applyNumberFormat="1" applyFont="1" applyAlignment="1" applyProtection="1">
      <alignment horizontal="left"/>
    </xf>
    <xf numFmtId="164" fontId="0" fillId="0" borderId="0" xfId="1" applyNumberFormat="1" applyFont="1" applyProtection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J1" transitionEvaluation="1" transitionEntry="1" enableFormatConditionsCalculation="0">
    <pageSetUpPr fitToPage="1"/>
  </sheetPr>
  <dimension ref="A1:AH210"/>
  <sheetViews>
    <sheetView showGridLines="0" tabSelected="1" topLeftCell="J1" zoomScale="80" zoomScaleNormal="80" zoomScalePageLayoutView="80" workbookViewId="0">
      <selection activeCell="W1" sqref="W1:W1048576"/>
    </sheetView>
  </sheetViews>
  <sheetFormatPr baseColWidth="10" defaultColWidth="12.6640625" defaultRowHeight="12" x14ac:dyDescent="0"/>
  <cols>
    <col min="1" max="1" width="32.1640625" customWidth="1"/>
    <col min="2" max="2" width="27" bestFit="1" customWidth="1"/>
    <col min="3" max="3" width="14.5" customWidth="1"/>
    <col min="4" max="4" width="14.6640625" customWidth="1"/>
    <col min="5" max="5" width="16" customWidth="1"/>
    <col min="6" max="6" width="14.83203125" bestFit="1" customWidth="1"/>
    <col min="7" max="7" width="15.1640625" customWidth="1"/>
    <col min="8" max="8" width="14.5" customWidth="1"/>
    <col min="9" max="9" width="15.6640625" customWidth="1"/>
    <col min="10" max="10" width="14.83203125" bestFit="1" customWidth="1"/>
    <col min="11" max="11" width="14.6640625" customWidth="1"/>
    <col min="12" max="12" width="15.33203125" customWidth="1"/>
    <col min="13" max="13" width="15" customWidth="1"/>
    <col min="14" max="27" width="14.83203125" bestFit="1" customWidth="1"/>
  </cols>
  <sheetData>
    <row r="1" spans="1:17">
      <c r="A1" s="24" t="s">
        <v>0</v>
      </c>
      <c r="B1" s="26" t="s">
        <v>1</v>
      </c>
      <c r="D1" s="25" t="s">
        <v>2</v>
      </c>
      <c r="H1" s="25" t="s">
        <v>3</v>
      </c>
      <c r="N1" s="4"/>
    </row>
    <row r="2" spans="1:17">
      <c r="A2" s="5" t="s">
        <v>4</v>
      </c>
      <c r="B2" s="5" t="s">
        <v>4</v>
      </c>
      <c r="C2" s="5" t="s">
        <v>4</v>
      </c>
      <c r="D2" s="5" t="s">
        <v>4</v>
      </c>
      <c r="E2" s="5" t="s">
        <v>4</v>
      </c>
      <c r="F2" s="5" t="s">
        <v>4</v>
      </c>
      <c r="G2" s="5" t="s">
        <v>4</v>
      </c>
      <c r="H2" s="5" t="s">
        <v>4</v>
      </c>
      <c r="I2" s="3" t="s">
        <v>5</v>
      </c>
      <c r="K2" s="6" t="s">
        <v>4</v>
      </c>
      <c r="L2" s="6" t="s">
        <v>4</v>
      </c>
      <c r="M2" s="6" t="s">
        <v>4</v>
      </c>
    </row>
    <row r="3" spans="1:17">
      <c r="A3" s="2" t="s">
        <v>6</v>
      </c>
      <c r="B3" s="7">
        <v>625000</v>
      </c>
      <c r="C3" s="1" t="s">
        <v>7</v>
      </c>
      <c r="D3" s="2" t="s">
        <v>8</v>
      </c>
      <c r="F3" s="18">
        <v>0.35</v>
      </c>
      <c r="G3" s="1" t="s">
        <v>7</v>
      </c>
      <c r="H3" s="2" t="s">
        <v>9</v>
      </c>
      <c r="L3" s="9">
        <f>IF(C39&gt;0,(-B39/C38)*12,IF(D39&gt;0,(-C39/D38)*12+12,IF(E39&gt;0,(-D39/E38)*12+24,IF(F39&gt;0,(-E39/F38)*12+36,(-F39/G38)*12+48))))</f>
        <v>9.5904939003691396</v>
      </c>
      <c r="M3" s="3" t="s">
        <v>10</v>
      </c>
      <c r="N3" s="3" t="s">
        <v>7</v>
      </c>
      <c r="Q3" s="9"/>
    </row>
    <row r="4" spans="1:17">
      <c r="A4" s="3" t="s">
        <v>40</v>
      </c>
      <c r="B4" s="8">
        <v>0.72499999999999998</v>
      </c>
      <c r="C4" s="1" t="s">
        <v>7</v>
      </c>
      <c r="D4" s="2" t="s">
        <v>12</v>
      </c>
      <c r="F4" s="18">
        <v>0.06</v>
      </c>
      <c r="G4" s="1" t="s">
        <v>7</v>
      </c>
      <c r="N4" s="3" t="s">
        <v>7</v>
      </c>
    </row>
    <row r="5" spans="1:17">
      <c r="C5" s="1" t="s">
        <v>7</v>
      </c>
      <c r="D5" s="2" t="s">
        <v>15</v>
      </c>
      <c r="F5" s="18">
        <v>6.4000000000000001E-2</v>
      </c>
      <c r="G5" s="1" t="s">
        <v>7</v>
      </c>
      <c r="H5" s="3" t="s">
        <v>13</v>
      </c>
      <c r="L5" s="8">
        <f>IRR(B38:AA38,0.4)</f>
        <v>1.1313880138369083</v>
      </c>
      <c r="N5" s="3" t="s">
        <v>7</v>
      </c>
    </row>
    <row r="6" spans="1:17">
      <c r="A6" s="2" t="s">
        <v>14</v>
      </c>
      <c r="B6" s="7">
        <v>500</v>
      </c>
      <c r="C6" s="1" t="s">
        <v>7</v>
      </c>
      <c r="D6" s="2" t="s">
        <v>11</v>
      </c>
      <c r="F6" s="18">
        <v>0</v>
      </c>
      <c r="G6" s="1" t="s">
        <v>7</v>
      </c>
      <c r="H6" s="3"/>
      <c r="L6" s="8"/>
      <c r="N6" s="3" t="s">
        <v>7</v>
      </c>
    </row>
    <row r="7" spans="1:17">
      <c r="A7" s="2" t="s">
        <v>16</v>
      </c>
      <c r="B7" s="7">
        <v>12000</v>
      </c>
      <c r="C7" s="1" t="s">
        <v>7</v>
      </c>
      <c r="G7" s="1" t="s">
        <v>7</v>
      </c>
      <c r="N7" s="3" t="s">
        <v>7</v>
      </c>
    </row>
    <row r="8" spans="1:17">
      <c r="A8" s="2" t="s">
        <v>17</v>
      </c>
      <c r="B8" s="8">
        <f>F10</f>
        <v>2.5000000000000001E-2</v>
      </c>
      <c r="C8" s="1" t="s">
        <v>7</v>
      </c>
      <c r="D8" s="2" t="s">
        <v>48</v>
      </c>
      <c r="F8" s="14">
        <v>40</v>
      </c>
      <c r="G8" s="1" t="s">
        <v>7</v>
      </c>
      <c r="H8" s="3" t="s">
        <v>42</v>
      </c>
      <c r="L8" s="7">
        <f>NPV(0.25,C38:AA38)+B38</f>
        <v>1129865.3872742485</v>
      </c>
      <c r="N8" s="3" t="s">
        <v>7</v>
      </c>
    </row>
    <row r="9" spans="1:17">
      <c r="C9" s="1" t="s">
        <v>7</v>
      </c>
      <c r="G9" s="1" t="s">
        <v>7</v>
      </c>
      <c r="L9" s="7"/>
      <c r="N9" s="3" t="s">
        <v>7</v>
      </c>
    </row>
    <row r="10" spans="1:17">
      <c r="A10" s="23" t="s">
        <v>44</v>
      </c>
      <c r="C10" s="1" t="s">
        <v>7</v>
      </c>
      <c r="D10" s="3" t="s">
        <v>43</v>
      </c>
      <c r="F10" s="18">
        <v>2.5000000000000001E-2</v>
      </c>
      <c r="G10" s="1" t="s">
        <v>7</v>
      </c>
      <c r="H10" s="3" t="s">
        <v>18</v>
      </c>
      <c r="L10" s="7">
        <f>SUM(B38:AA38)</f>
        <v>4483407.6806844389</v>
      </c>
      <c r="N10" s="3" t="s">
        <v>7</v>
      </c>
    </row>
    <row r="11" spans="1:17">
      <c r="A11" s="3" t="s">
        <v>41</v>
      </c>
      <c r="B11" s="10">
        <v>1</v>
      </c>
      <c r="C11" s="1" t="s">
        <v>7</v>
      </c>
      <c r="F11" s="21"/>
      <c r="G11" s="1" t="s">
        <v>7</v>
      </c>
      <c r="N11" s="3" t="s">
        <v>7</v>
      </c>
    </row>
    <row r="12" spans="1:17">
      <c r="A12" s="3" t="s">
        <v>36</v>
      </c>
      <c r="B12" s="4">
        <v>30</v>
      </c>
      <c r="C12" s="1" t="s">
        <v>7</v>
      </c>
      <c r="D12" s="2" t="s">
        <v>19</v>
      </c>
      <c r="F12" s="18">
        <v>0.17</v>
      </c>
      <c r="G12" s="1" t="s">
        <v>7</v>
      </c>
      <c r="N12" s="3" t="s">
        <v>7</v>
      </c>
    </row>
    <row r="13" spans="1:17">
      <c r="A13" s="3" t="s">
        <v>38</v>
      </c>
      <c r="B13" s="8">
        <v>0.12</v>
      </c>
      <c r="C13" s="1" t="s">
        <v>7</v>
      </c>
      <c r="G13" s="1" t="s">
        <v>7</v>
      </c>
      <c r="N13" s="3" t="s">
        <v>7</v>
      </c>
    </row>
    <row r="14" spans="1:17">
      <c r="A14" s="2"/>
      <c r="C14" s="1" t="s">
        <v>7</v>
      </c>
      <c r="G14" s="1" t="s">
        <v>7</v>
      </c>
      <c r="N14" s="3" t="s">
        <v>7</v>
      </c>
    </row>
    <row r="15" spans="1:17">
      <c r="A15" s="2"/>
      <c r="B15" s="8"/>
      <c r="C15" s="1" t="s">
        <v>7</v>
      </c>
      <c r="D15" s="23" t="s">
        <v>45</v>
      </c>
      <c r="G15" s="1" t="s">
        <v>7</v>
      </c>
      <c r="M15" s="9"/>
      <c r="N15" s="3" t="s">
        <v>7</v>
      </c>
      <c r="P15" s="9"/>
    </row>
    <row r="16" spans="1:17">
      <c r="A16" s="2"/>
      <c r="B16" s="8"/>
      <c r="C16" s="1" t="s">
        <v>7</v>
      </c>
      <c r="D16" s="3" t="s">
        <v>50</v>
      </c>
      <c r="F16" s="12">
        <v>104.25</v>
      </c>
      <c r="G16" s="1" t="s">
        <v>7</v>
      </c>
      <c r="M16" s="9"/>
      <c r="N16" s="3" t="s">
        <v>7</v>
      </c>
    </row>
    <row r="17" spans="1:34">
      <c r="A17" s="2"/>
      <c r="B17" s="8"/>
      <c r="C17" s="1" t="s">
        <v>7</v>
      </c>
      <c r="D17" t="s">
        <v>49</v>
      </c>
      <c r="F17" s="12">
        <f>F16-0.015*10*(43-F8)</f>
        <v>103.8</v>
      </c>
      <c r="G17" s="1" t="s">
        <v>7</v>
      </c>
      <c r="N17" s="3" t="s">
        <v>7</v>
      </c>
    </row>
    <row r="18" spans="1:34">
      <c r="A18" s="2"/>
      <c r="B18" s="8"/>
      <c r="C18" s="1" t="s">
        <v>7</v>
      </c>
      <c r="D18" s="22" t="s">
        <v>46</v>
      </c>
      <c r="F18" s="8"/>
      <c r="G18" s="1" t="s">
        <v>7</v>
      </c>
      <c r="N18" s="3" t="s">
        <v>7</v>
      </c>
    </row>
    <row r="19" spans="1:34">
      <c r="B19" s="13"/>
      <c r="C19" s="1" t="s">
        <v>7</v>
      </c>
      <c r="D19" s="3" t="s">
        <v>47</v>
      </c>
      <c r="F19" s="10">
        <v>5</v>
      </c>
      <c r="G19" s="1" t="s">
        <v>7</v>
      </c>
      <c r="N19" s="3" t="s">
        <v>7</v>
      </c>
    </row>
    <row r="20" spans="1:34">
      <c r="A20" s="6" t="s">
        <v>4</v>
      </c>
      <c r="B20" s="6" t="s">
        <v>4</v>
      </c>
      <c r="C20" s="6" t="s">
        <v>4</v>
      </c>
      <c r="D20" s="6" t="s">
        <v>4</v>
      </c>
      <c r="E20" s="6" t="s">
        <v>4</v>
      </c>
      <c r="F20" s="6" t="s">
        <v>4</v>
      </c>
      <c r="G20" s="6" t="s">
        <v>4</v>
      </c>
      <c r="H20" s="6" t="s">
        <v>4</v>
      </c>
      <c r="I20" s="6" t="s">
        <v>4</v>
      </c>
      <c r="J20" s="6" t="s">
        <v>4</v>
      </c>
      <c r="K20" s="6" t="s">
        <v>4</v>
      </c>
      <c r="L20" s="6" t="s">
        <v>4</v>
      </c>
      <c r="M20" s="6" t="s">
        <v>4</v>
      </c>
    </row>
    <row r="21" spans="1:34">
      <c r="A21" s="3" t="s">
        <v>20</v>
      </c>
      <c r="B21" s="10">
        <v>0</v>
      </c>
      <c r="C21" s="10">
        <v>1</v>
      </c>
      <c r="D21" s="10">
        <v>2</v>
      </c>
      <c r="E21" s="10">
        <v>3</v>
      </c>
      <c r="F21" s="10">
        <v>4</v>
      </c>
      <c r="G21" s="10">
        <v>5</v>
      </c>
      <c r="H21" s="10">
        <v>6</v>
      </c>
      <c r="I21" s="10">
        <v>7</v>
      </c>
      <c r="J21" s="10">
        <v>8</v>
      </c>
      <c r="K21" s="10">
        <v>9</v>
      </c>
      <c r="L21" s="10">
        <v>10</v>
      </c>
      <c r="M21" s="10">
        <v>11</v>
      </c>
      <c r="N21" s="10">
        <v>12</v>
      </c>
      <c r="O21" s="10">
        <v>13</v>
      </c>
      <c r="P21" s="10">
        <v>14</v>
      </c>
      <c r="Q21" s="10">
        <v>15</v>
      </c>
      <c r="R21" s="10">
        <v>16</v>
      </c>
      <c r="S21" s="10">
        <v>17</v>
      </c>
      <c r="T21" s="10">
        <v>18</v>
      </c>
      <c r="U21" s="10">
        <v>19</v>
      </c>
      <c r="V21" s="10">
        <v>20</v>
      </c>
      <c r="W21" s="10">
        <v>21</v>
      </c>
      <c r="X21" s="10">
        <v>22</v>
      </c>
      <c r="Y21" s="10">
        <v>23</v>
      </c>
      <c r="Z21" s="10">
        <v>24</v>
      </c>
      <c r="AA21" s="10">
        <v>25</v>
      </c>
    </row>
    <row r="22" spans="1:34">
      <c r="A22" s="3" t="s">
        <v>21</v>
      </c>
      <c r="B22" s="7">
        <f>-B3</f>
        <v>-625000</v>
      </c>
    </row>
    <row r="23" spans="1:34">
      <c r="A23" s="3" t="s">
        <v>37</v>
      </c>
      <c r="B23" s="9"/>
      <c r="C23" s="27">
        <f>F17</f>
        <v>103.8</v>
      </c>
      <c r="D23" s="9">
        <f t="shared" ref="D23:M23" si="0">IF($F$19&lt;=D21,C23*(1+$F$10),C23)</f>
        <v>103.8</v>
      </c>
      <c r="E23" s="9">
        <f t="shared" si="0"/>
        <v>103.8</v>
      </c>
      <c r="F23" s="9">
        <f t="shared" si="0"/>
        <v>103.8</v>
      </c>
      <c r="G23" s="9">
        <f t="shared" si="0"/>
        <v>106.39499999999998</v>
      </c>
      <c r="H23" s="9">
        <f t="shared" si="0"/>
        <v>109.05487499999997</v>
      </c>
      <c r="I23" s="9">
        <f t="shared" si="0"/>
        <v>111.78124687499995</v>
      </c>
      <c r="J23" s="9">
        <f t="shared" si="0"/>
        <v>114.57577804687494</v>
      </c>
      <c r="K23" s="9">
        <f t="shared" si="0"/>
        <v>117.44017249804681</v>
      </c>
      <c r="L23" s="9">
        <f t="shared" si="0"/>
        <v>120.37617681049797</v>
      </c>
      <c r="M23" s="9">
        <f t="shared" si="0"/>
        <v>123.38558123076041</v>
      </c>
      <c r="N23" s="9">
        <f t="shared" ref="N23:AA23" si="1">IF($F$19&lt;=N21,M23*(1+$F$10),M23)</f>
        <v>126.4702207615294</v>
      </c>
      <c r="O23" s="9">
        <f t="shared" si="1"/>
        <v>129.63197628056764</v>
      </c>
      <c r="P23" s="9">
        <f t="shared" si="1"/>
        <v>132.87277568758182</v>
      </c>
      <c r="Q23" s="9">
        <f t="shared" si="1"/>
        <v>136.19459507977135</v>
      </c>
      <c r="R23" s="9">
        <f t="shared" si="1"/>
        <v>139.59945995676563</v>
      </c>
      <c r="S23" s="9">
        <f t="shared" si="1"/>
        <v>143.08944645568477</v>
      </c>
      <c r="T23" s="9">
        <f t="shared" si="1"/>
        <v>146.66668261707687</v>
      </c>
      <c r="U23" s="9">
        <f t="shared" si="1"/>
        <v>150.33334968250378</v>
      </c>
      <c r="V23" s="9">
        <f t="shared" si="1"/>
        <v>154.09168342456636</v>
      </c>
      <c r="W23" s="9">
        <f t="shared" si="1"/>
        <v>157.94397551018051</v>
      </c>
      <c r="X23" s="9">
        <f t="shared" si="1"/>
        <v>161.89257489793502</v>
      </c>
      <c r="Y23" s="9">
        <f t="shared" si="1"/>
        <v>165.93988927038339</v>
      </c>
      <c r="Z23" s="9">
        <f t="shared" si="1"/>
        <v>170.08838650214295</v>
      </c>
      <c r="AA23" s="9">
        <f t="shared" si="1"/>
        <v>174.34059616469651</v>
      </c>
    </row>
    <row r="24" spans="1:34">
      <c r="A24" s="3" t="s">
        <v>39</v>
      </c>
      <c r="B24" s="9"/>
      <c r="C24" s="4">
        <f>B11*B12*365</f>
        <v>10950</v>
      </c>
      <c r="D24" s="4">
        <f>C24*(1-B13)</f>
        <v>9636</v>
      </c>
      <c r="E24" s="4">
        <f>D24*(1-B13)</f>
        <v>8479.68</v>
      </c>
      <c r="F24" s="4">
        <f>E24*(1-$B13)</f>
        <v>7462.1184000000003</v>
      </c>
      <c r="G24" s="4">
        <f>F24*(1-$B13)</f>
        <v>6566.6641920000002</v>
      </c>
      <c r="H24" s="4">
        <f t="shared" ref="H24:AA24" si="2">G24*(1-$B13)</f>
        <v>5778.6644889600002</v>
      </c>
      <c r="I24" s="4">
        <f t="shared" si="2"/>
        <v>5085.2247502848004</v>
      </c>
      <c r="J24" s="4">
        <f t="shared" si="2"/>
        <v>4474.9977802506246</v>
      </c>
      <c r="K24" s="4">
        <f t="shared" si="2"/>
        <v>3937.9980466205498</v>
      </c>
      <c r="L24" s="4">
        <f t="shared" si="2"/>
        <v>3465.4382810260836</v>
      </c>
      <c r="M24" s="4">
        <f t="shared" si="2"/>
        <v>3049.5856873029534</v>
      </c>
      <c r="N24" s="4">
        <f t="shared" si="2"/>
        <v>2683.6354048265989</v>
      </c>
      <c r="O24" s="4">
        <f t="shared" si="2"/>
        <v>2361.5991562474069</v>
      </c>
      <c r="P24" s="4">
        <f t="shared" si="2"/>
        <v>2078.2072574977183</v>
      </c>
      <c r="Q24" s="4">
        <f t="shared" si="2"/>
        <v>1828.8223865979921</v>
      </c>
      <c r="R24" s="4">
        <f t="shared" si="2"/>
        <v>1609.363700206233</v>
      </c>
      <c r="S24" s="4">
        <f t="shared" si="2"/>
        <v>1416.240056181485</v>
      </c>
      <c r="T24" s="4">
        <f t="shared" si="2"/>
        <v>1246.2912494397067</v>
      </c>
      <c r="U24" s="4">
        <f t="shared" si="2"/>
        <v>1096.7362995069418</v>
      </c>
      <c r="V24" s="4">
        <f t="shared" si="2"/>
        <v>965.1279435661088</v>
      </c>
      <c r="W24" s="4">
        <f t="shared" si="2"/>
        <v>849.31259033817571</v>
      </c>
      <c r="X24" s="4">
        <f t="shared" si="2"/>
        <v>747.39507949759468</v>
      </c>
      <c r="Y24" s="4">
        <f t="shared" si="2"/>
        <v>657.70766995788335</v>
      </c>
      <c r="Z24" s="4">
        <f t="shared" si="2"/>
        <v>578.7827495629374</v>
      </c>
      <c r="AA24" s="4">
        <f t="shared" si="2"/>
        <v>509.32881961538493</v>
      </c>
      <c r="AB24" s="14"/>
      <c r="AC24" s="15"/>
    </row>
    <row r="25" spans="1:34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P25" s="9"/>
      <c r="Q25" s="9"/>
      <c r="R25" s="9"/>
      <c r="T25" s="9"/>
      <c r="U25" s="9"/>
      <c r="V25" s="9"/>
      <c r="W25" s="9"/>
      <c r="X25" s="9"/>
      <c r="Y25" s="9"/>
      <c r="Z25" s="9"/>
      <c r="AA25" s="9"/>
      <c r="AB25" s="14"/>
      <c r="AC25" s="15"/>
    </row>
    <row r="26" spans="1:34">
      <c r="A26" s="3" t="s">
        <v>22</v>
      </c>
      <c r="B26" s="9"/>
      <c r="C26" s="7">
        <f t="shared" ref="C26:L26" si="3">C23*C24</f>
        <v>1136610</v>
      </c>
      <c r="D26" s="7">
        <f t="shared" si="3"/>
        <v>1000216.7999999999</v>
      </c>
      <c r="E26" s="7">
        <f t="shared" si="3"/>
        <v>880190.78399999999</v>
      </c>
      <c r="F26" s="7">
        <f t="shared" si="3"/>
        <v>774567.88991999999</v>
      </c>
      <c r="G26" s="7">
        <f t="shared" si="3"/>
        <v>698660.23670783988</v>
      </c>
      <c r="H26" s="7">
        <f t="shared" si="3"/>
        <v>630191.53351047146</v>
      </c>
      <c r="I26" s="7">
        <f t="shared" si="3"/>
        <v>568432.7632264453</v>
      </c>
      <c r="J26" s="7">
        <f t="shared" si="3"/>
        <v>512726.35243025364</v>
      </c>
      <c r="K26" s="7">
        <f t="shared" si="3"/>
        <v>462479.16989208874</v>
      </c>
      <c r="L26" s="7">
        <f t="shared" si="3"/>
        <v>417156.21124266397</v>
      </c>
      <c r="M26" s="7">
        <f t="shared" ref="M26:AA26" si="4">M23*M24</f>
        <v>376274.90254088287</v>
      </c>
      <c r="N26" s="7">
        <f t="shared" si="4"/>
        <v>339399.96209187631</v>
      </c>
      <c r="O26" s="7">
        <f t="shared" si="4"/>
        <v>306138.7658068724</v>
      </c>
      <c r="P26" s="7">
        <f t="shared" si="4"/>
        <v>276137.16675779893</v>
      </c>
      <c r="Q26" s="7">
        <f t="shared" si="4"/>
        <v>249075.72441553458</v>
      </c>
      <c r="R26" s="7">
        <f t="shared" si="4"/>
        <v>224666.3034228122</v>
      </c>
      <c r="S26" s="7">
        <f t="shared" si="4"/>
        <v>202649.00568737657</v>
      </c>
      <c r="T26" s="7">
        <f t="shared" si="4"/>
        <v>182789.40313001364</v>
      </c>
      <c r="U26" s="7">
        <f t="shared" si="4"/>
        <v>164876.04162327229</v>
      </c>
      <c r="V26" s="7">
        <f t="shared" si="4"/>
        <v>148718.18954419158</v>
      </c>
      <c r="W26" s="7">
        <f t="shared" si="4"/>
        <v>134143.80696886079</v>
      </c>
      <c r="X26" s="7">
        <f t="shared" si="4"/>
        <v>120997.71388591244</v>
      </c>
      <c r="Y26" s="7">
        <f t="shared" si="4"/>
        <v>109139.93792509302</v>
      </c>
      <c r="Z26" s="7">
        <f t="shared" si="4"/>
        <v>98444.224008433899</v>
      </c>
      <c r="AA26" s="7">
        <f t="shared" si="4"/>
        <v>88796.690055607382</v>
      </c>
    </row>
    <row r="27" spans="1:34">
      <c r="A27" s="3" t="s">
        <v>23</v>
      </c>
      <c r="B27" s="9"/>
      <c r="C27" s="4">
        <f t="shared" ref="C27:L27" si="5">$F12*C26</f>
        <v>193223.7</v>
      </c>
      <c r="D27" s="4">
        <f t="shared" si="5"/>
        <v>170036.856</v>
      </c>
      <c r="E27" s="4">
        <f t="shared" si="5"/>
        <v>149632.43328</v>
      </c>
      <c r="F27" s="4">
        <f t="shared" si="5"/>
        <v>131676.5412864</v>
      </c>
      <c r="G27" s="4">
        <f t="shared" si="5"/>
        <v>118772.24024033279</v>
      </c>
      <c r="H27" s="4">
        <f t="shared" si="5"/>
        <v>107132.56069678016</v>
      </c>
      <c r="I27" s="4">
        <f t="shared" si="5"/>
        <v>96633.569748495705</v>
      </c>
      <c r="J27" s="4">
        <f t="shared" si="5"/>
        <v>87163.479913143121</v>
      </c>
      <c r="K27" s="4">
        <f t="shared" si="5"/>
        <v>78621.458881655097</v>
      </c>
      <c r="L27" s="4">
        <f t="shared" si="5"/>
        <v>70916.555911252886</v>
      </c>
      <c r="M27" s="4">
        <f t="shared" ref="M27:AA27" si="6">$F12*M26</f>
        <v>63966.733431950095</v>
      </c>
      <c r="N27" s="4">
        <f t="shared" si="6"/>
        <v>57697.993555618974</v>
      </c>
      <c r="O27" s="4">
        <f t="shared" si="6"/>
        <v>52043.590187168309</v>
      </c>
      <c r="P27" s="4">
        <f t="shared" si="6"/>
        <v>46943.318348825822</v>
      </c>
      <c r="Q27" s="4">
        <f t="shared" si="6"/>
        <v>42342.87315064088</v>
      </c>
      <c r="R27" s="4">
        <f t="shared" si="6"/>
        <v>38193.271581878078</v>
      </c>
      <c r="S27" s="4">
        <f t="shared" si="6"/>
        <v>34450.330966854017</v>
      </c>
      <c r="T27" s="4">
        <f t="shared" si="6"/>
        <v>31074.19853210232</v>
      </c>
      <c r="U27" s="4">
        <f t="shared" si="6"/>
        <v>28028.927075956293</v>
      </c>
      <c r="V27" s="4">
        <f t="shared" si="6"/>
        <v>25282.092222512572</v>
      </c>
      <c r="W27" s="4">
        <f t="shared" si="6"/>
        <v>22804.447184706336</v>
      </c>
      <c r="X27" s="4">
        <f t="shared" si="6"/>
        <v>20569.611360605115</v>
      </c>
      <c r="Y27" s="4">
        <f t="shared" si="6"/>
        <v>18553.789447265815</v>
      </c>
      <c r="Z27" s="4">
        <f t="shared" si="6"/>
        <v>16735.518081433765</v>
      </c>
      <c r="AA27" s="4">
        <f t="shared" si="6"/>
        <v>15095.437309453257</v>
      </c>
    </row>
    <row r="28" spans="1:34">
      <c r="A28" s="3" t="s">
        <v>24</v>
      </c>
      <c r="B28" s="9"/>
      <c r="C28" s="7">
        <f t="shared" ref="C28:L28" si="7">C26-C27</f>
        <v>943386.3</v>
      </c>
      <c r="D28" s="7">
        <f t="shared" si="7"/>
        <v>830179.9439999999</v>
      </c>
      <c r="E28" s="7">
        <f t="shared" si="7"/>
        <v>730558.35071999999</v>
      </c>
      <c r="F28" s="7">
        <f t="shared" si="7"/>
        <v>642891.34863359993</v>
      </c>
      <c r="G28" s="7">
        <f t="shared" si="7"/>
        <v>579887.9964675071</v>
      </c>
      <c r="H28" s="7">
        <f t="shared" si="7"/>
        <v>523058.9728136913</v>
      </c>
      <c r="I28" s="7">
        <f t="shared" si="7"/>
        <v>471799.19347794959</v>
      </c>
      <c r="J28" s="7">
        <f t="shared" si="7"/>
        <v>425562.87251711055</v>
      </c>
      <c r="K28" s="7">
        <f t="shared" si="7"/>
        <v>383857.71101043362</v>
      </c>
      <c r="L28" s="7">
        <f t="shared" si="7"/>
        <v>346239.65533141105</v>
      </c>
      <c r="M28" s="7">
        <f t="shared" ref="M28:AA28" si="8">M26-M27</f>
        <v>312308.16910893278</v>
      </c>
      <c r="N28" s="7">
        <f t="shared" si="8"/>
        <v>281701.96853625734</v>
      </c>
      <c r="O28" s="7">
        <f t="shared" si="8"/>
        <v>254095.1756197041</v>
      </c>
      <c r="P28" s="7">
        <f t="shared" si="8"/>
        <v>229193.84840897311</v>
      </c>
      <c r="Q28" s="7">
        <f t="shared" si="8"/>
        <v>206732.85126489372</v>
      </c>
      <c r="R28" s="7">
        <f t="shared" si="8"/>
        <v>186473.03184093413</v>
      </c>
      <c r="S28" s="7">
        <f t="shared" si="8"/>
        <v>168198.67472052254</v>
      </c>
      <c r="T28" s="7">
        <f t="shared" si="8"/>
        <v>151715.20459791133</v>
      </c>
      <c r="U28" s="7">
        <f t="shared" si="8"/>
        <v>136847.11454731598</v>
      </c>
      <c r="V28" s="7">
        <f t="shared" si="8"/>
        <v>123436.09732167902</v>
      </c>
      <c r="W28" s="7">
        <f t="shared" si="8"/>
        <v>111339.35978415445</v>
      </c>
      <c r="X28" s="7">
        <f t="shared" si="8"/>
        <v>100428.10252530733</v>
      </c>
      <c r="Y28" s="7">
        <f t="shared" si="8"/>
        <v>90586.148477827199</v>
      </c>
      <c r="Z28" s="7">
        <f t="shared" si="8"/>
        <v>81708.705927000134</v>
      </c>
      <c r="AA28" s="7">
        <f t="shared" si="8"/>
        <v>73701.252746154118</v>
      </c>
    </row>
    <row r="29" spans="1:34">
      <c r="A29" s="3" t="s">
        <v>25</v>
      </c>
      <c r="B29" s="9"/>
      <c r="C29" s="4">
        <f>IF(C24=0,0,+$B6*12+$B7)</f>
        <v>18000</v>
      </c>
      <c r="D29" s="4">
        <f>C29*(1+$B8)</f>
        <v>18450</v>
      </c>
      <c r="E29" s="4">
        <f t="shared" ref="E29:Q29" si="9">D29*(1+$B8)</f>
        <v>18911.25</v>
      </c>
      <c r="F29" s="4">
        <f t="shared" si="9"/>
        <v>19384.03125</v>
      </c>
      <c r="G29" s="4">
        <f t="shared" si="9"/>
        <v>19868.632031249999</v>
      </c>
      <c r="H29" s="4">
        <f t="shared" si="9"/>
        <v>20365.347832031246</v>
      </c>
      <c r="I29" s="4">
        <f t="shared" si="9"/>
        <v>20874.481527832024</v>
      </c>
      <c r="J29" s="4">
        <f t="shared" si="9"/>
        <v>21396.343566027823</v>
      </c>
      <c r="K29" s="4">
        <f t="shared" si="9"/>
        <v>21931.252155178518</v>
      </c>
      <c r="L29" s="4">
        <f t="shared" si="9"/>
        <v>22479.533459057977</v>
      </c>
      <c r="M29" s="4">
        <f t="shared" si="9"/>
        <v>23041.521795534423</v>
      </c>
      <c r="N29" s="4">
        <f t="shared" si="9"/>
        <v>23617.559840422782</v>
      </c>
      <c r="O29" s="4">
        <f t="shared" si="9"/>
        <v>24207.998836433351</v>
      </c>
      <c r="P29" s="4">
        <f t="shared" si="9"/>
        <v>24813.198807344183</v>
      </c>
      <c r="Q29" s="4">
        <f t="shared" si="9"/>
        <v>25433.528777527787</v>
      </c>
      <c r="R29" s="4">
        <f>Q29</f>
        <v>25433.528777527787</v>
      </c>
      <c r="S29" s="4">
        <f>R29</f>
        <v>25433.528777527787</v>
      </c>
      <c r="T29" s="4">
        <f>S29</f>
        <v>25433.528777527787</v>
      </c>
      <c r="U29" s="4">
        <f>T29</f>
        <v>25433.528777527787</v>
      </c>
      <c r="V29" s="4">
        <f>U29/2</f>
        <v>12716.764388763893</v>
      </c>
      <c r="W29" s="4">
        <f>V29</f>
        <v>12716.764388763893</v>
      </c>
      <c r="X29" s="4">
        <f>W29</f>
        <v>12716.764388763893</v>
      </c>
      <c r="Y29" s="4">
        <f>X29</f>
        <v>12716.764388763893</v>
      </c>
      <c r="Z29" s="4">
        <f>Y29</f>
        <v>12716.764388763893</v>
      </c>
      <c r="AA29" s="4">
        <f>Z29</f>
        <v>12716.764388763893</v>
      </c>
      <c r="AH29" s="9"/>
    </row>
    <row r="30" spans="1:34">
      <c r="A30" s="3" t="s">
        <v>26</v>
      </c>
      <c r="B30" s="9"/>
      <c r="C30" s="4">
        <f t="shared" ref="C30:AA30" si="10">($F4+$F5)*C28</f>
        <v>116979.90120000001</v>
      </c>
      <c r="D30" s="4">
        <f t="shared" si="10"/>
        <v>102942.31305599998</v>
      </c>
      <c r="E30" s="4">
        <f t="shared" si="10"/>
        <v>90589.235489279992</v>
      </c>
      <c r="F30" s="4">
        <f t="shared" si="10"/>
        <v>79718.527230566397</v>
      </c>
      <c r="G30" s="4">
        <f t="shared" si="10"/>
        <v>71906.111561970873</v>
      </c>
      <c r="H30" s="4">
        <f t="shared" si="10"/>
        <v>64859.312628897722</v>
      </c>
      <c r="I30" s="4">
        <f t="shared" si="10"/>
        <v>58503.09999126575</v>
      </c>
      <c r="J30" s="4">
        <f t="shared" si="10"/>
        <v>52769.796192121707</v>
      </c>
      <c r="K30" s="4">
        <f t="shared" si="10"/>
        <v>47598.356165293771</v>
      </c>
      <c r="L30" s="4">
        <f t="shared" si="10"/>
        <v>42933.717261094971</v>
      </c>
      <c r="M30" s="4">
        <f t="shared" si="10"/>
        <v>38726.212969507666</v>
      </c>
      <c r="N30" s="4">
        <f t="shared" si="10"/>
        <v>34931.044098495906</v>
      </c>
      <c r="O30" s="4">
        <f t="shared" si="10"/>
        <v>31507.801776843309</v>
      </c>
      <c r="P30" s="4">
        <f t="shared" si="10"/>
        <v>28420.037202712665</v>
      </c>
      <c r="Q30" s="4">
        <f t="shared" si="10"/>
        <v>25634.873556846822</v>
      </c>
      <c r="R30" s="4">
        <f t="shared" si="10"/>
        <v>23122.655948275831</v>
      </c>
      <c r="S30" s="4">
        <f t="shared" si="10"/>
        <v>20856.635665344795</v>
      </c>
      <c r="T30" s="4">
        <f t="shared" si="10"/>
        <v>18812.685370141004</v>
      </c>
      <c r="U30" s="4">
        <f t="shared" si="10"/>
        <v>16969.042203867182</v>
      </c>
      <c r="V30" s="4">
        <f t="shared" si="10"/>
        <v>15306.076067888198</v>
      </c>
      <c r="W30" s="4">
        <f t="shared" si="10"/>
        <v>13806.080613235152</v>
      </c>
      <c r="X30" s="4">
        <f t="shared" si="10"/>
        <v>12453.084713138109</v>
      </c>
      <c r="Y30" s="4">
        <f t="shared" si="10"/>
        <v>11232.682411250573</v>
      </c>
      <c r="Z30" s="4">
        <f t="shared" si="10"/>
        <v>10131.879534948017</v>
      </c>
      <c r="AA30" s="4">
        <f t="shared" si="10"/>
        <v>9138.9553405231109</v>
      </c>
      <c r="AH30" s="4"/>
    </row>
    <row r="31" spans="1:34">
      <c r="A31" s="3" t="s">
        <v>27</v>
      </c>
      <c r="B31" s="4">
        <f>IF(B11=0,-B22,B3*B4)</f>
        <v>453125</v>
      </c>
      <c r="C31" s="4">
        <f t="shared" ref="C31:I31" si="11">IF($B11=0,0,(1-$B$4)*$B$3/7)</f>
        <v>24553.571428571428</v>
      </c>
      <c r="D31" s="4">
        <f t="shared" si="11"/>
        <v>24553.571428571428</v>
      </c>
      <c r="E31" s="4">
        <f t="shared" si="11"/>
        <v>24553.571428571428</v>
      </c>
      <c r="F31" s="4">
        <f t="shared" si="11"/>
        <v>24553.571428571428</v>
      </c>
      <c r="G31" s="4">
        <f t="shared" si="11"/>
        <v>24553.571428571428</v>
      </c>
      <c r="H31" s="4">
        <f t="shared" si="11"/>
        <v>24553.571428571428</v>
      </c>
      <c r="I31" s="4">
        <f t="shared" si="11"/>
        <v>24553.571428571428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H31" s="4"/>
    </row>
    <row r="32" spans="1:34">
      <c r="A32" s="3" t="s">
        <v>28</v>
      </c>
      <c r="B32" s="7">
        <f t="shared" ref="B32:K32" si="12">B28-SUM(B29:B31)</f>
        <v>-453125</v>
      </c>
      <c r="C32" s="7">
        <f t="shared" si="12"/>
        <v>783852.8273714286</v>
      </c>
      <c r="D32" s="7">
        <f t="shared" si="12"/>
        <v>684234.0595154285</v>
      </c>
      <c r="E32" s="7">
        <f t="shared" si="12"/>
        <v>596504.29380214855</v>
      </c>
      <c r="F32" s="7">
        <f t="shared" si="12"/>
        <v>519235.21872446209</v>
      </c>
      <c r="G32" s="7">
        <f t="shared" si="12"/>
        <v>463559.68144571478</v>
      </c>
      <c r="H32" s="7">
        <f t="shared" si="12"/>
        <v>413280.7409241909</v>
      </c>
      <c r="I32" s="7">
        <f t="shared" si="12"/>
        <v>367868.04053028038</v>
      </c>
      <c r="J32" s="7">
        <f t="shared" si="12"/>
        <v>351396.73275896104</v>
      </c>
      <c r="K32" s="7">
        <f t="shared" si="12"/>
        <v>314328.10268996132</v>
      </c>
      <c r="L32" s="7">
        <f t="shared" ref="L32:U32" si="13">L28-SUM(L29:L31)</f>
        <v>280826.40461125807</v>
      </c>
      <c r="M32" s="7">
        <f t="shared" si="13"/>
        <v>250540.43434389069</v>
      </c>
      <c r="N32" s="7">
        <f t="shared" si="13"/>
        <v>223153.36459733866</v>
      </c>
      <c r="O32" s="7">
        <f t="shared" si="13"/>
        <v>198379.37500642744</v>
      </c>
      <c r="P32" s="7">
        <f t="shared" si="13"/>
        <v>175960.61239891627</v>
      </c>
      <c r="Q32" s="7">
        <f t="shared" si="13"/>
        <v>155664.44893051911</v>
      </c>
      <c r="R32" s="7">
        <f t="shared" si="13"/>
        <v>137916.84711513051</v>
      </c>
      <c r="S32" s="7">
        <f t="shared" si="13"/>
        <v>121908.51027764996</v>
      </c>
      <c r="T32" s="7">
        <f t="shared" si="13"/>
        <v>107468.99045024253</v>
      </c>
      <c r="U32" s="7">
        <f t="shared" si="13"/>
        <v>94444.54356592102</v>
      </c>
      <c r="V32" s="7">
        <f t="shared" ref="V32:AA32" si="14">V28-SUM(V29:V31)</f>
        <v>95413.256865026924</v>
      </c>
      <c r="W32" s="7">
        <f t="shared" si="14"/>
        <v>84816.514782155413</v>
      </c>
      <c r="X32" s="7">
        <f t="shared" si="14"/>
        <v>75258.253423405331</v>
      </c>
      <c r="Y32" s="7">
        <f t="shared" si="14"/>
        <v>66636.701677812729</v>
      </c>
      <c r="Z32" s="7">
        <f t="shared" si="14"/>
        <v>58860.062003288222</v>
      </c>
      <c r="AA32" s="7">
        <f t="shared" si="14"/>
        <v>51845.533016867113</v>
      </c>
      <c r="AH32" s="4"/>
    </row>
    <row r="33" spans="1:34">
      <c r="A33" s="3" t="s">
        <v>29</v>
      </c>
      <c r="B33" s="9"/>
      <c r="C33" s="4">
        <f t="shared" ref="C33:L33" si="15">IF(0.5*C32&lt;0.15*C28,0.5*C32,0.15*C28)</f>
        <v>141507.94500000001</v>
      </c>
      <c r="D33" s="4">
        <f t="shared" si="15"/>
        <v>124526.99159999998</v>
      </c>
      <c r="E33" s="4">
        <f t="shared" si="15"/>
        <v>109583.752608</v>
      </c>
      <c r="F33" s="4">
        <f t="shared" si="15"/>
        <v>96433.702295039984</v>
      </c>
      <c r="G33" s="4">
        <f t="shared" si="15"/>
        <v>86983.199470126056</v>
      </c>
      <c r="H33" s="4">
        <f t="shared" si="15"/>
        <v>78458.84592205369</v>
      </c>
      <c r="I33" s="4">
        <f t="shared" si="15"/>
        <v>70769.879021692439</v>
      </c>
      <c r="J33" s="4">
        <f t="shared" si="15"/>
        <v>63834.430877566578</v>
      </c>
      <c r="K33" s="4">
        <f t="shared" si="15"/>
        <v>57578.656651565041</v>
      </c>
      <c r="L33" s="4">
        <f t="shared" si="15"/>
        <v>51935.948299711657</v>
      </c>
      <c r="M33" s="4">
        <f t="shared" ref="M33:AA33" si="16">IF(0.5*M32&lt;0.15*M28,0.5*M32,0.15*M28)</f>
        <v>46846.225366339917</v>
      </c>
      <c r="N33" s="4">
        <f t="shared" si="16"/>
        <v>42255.2952804386</v>
      </c>
      <c r="O33" s="4">
        <f t="shared" si="16"/>
        <v>38114.276342955614</v>
      </c>
      <c r="P33" s="4">
        <f t="shared" si="16"/>
        <v>34379.077261345963</v>
      </c>
      <c r="Q33" s="4">
        <f t="shared" si="16"/>
        <v>31009.927689734057</v>
      </c>
      <c r="R33" s="4">
        <f t="shared" si="16"/>
        <v>27970.954776140119</v>
      </c>
      <c r="S33" s="4">
        <f t="shared" si="16"/>
        <v>25229.801208078381</v>
      </c>
      <c r="T33" s="4">
        <f t="shared" si="16"/>
        <v>22757.2806896867</v>
      </c>
      <c r="U33" s="4">
        <f t="shared" si="16"/>
        <v>20527.067182097398</v>
      </c>
      <c r="V33" s="4">
        <f t="shared" si="16"/>
        <v>18515.414598251853</v>
      </c>
      <c r="W33" s="4">
        <f t="shared" si="16"/>
        <v>16700.903967623166</v>
      </c>
      <c r="X33" s="4">
        <f t="shared" si="16"/>
        <v>15064.2153787961</v>
      </c>
      <c r="Y33" s="4">
        <f t="shared" si="16"/>
        <v>13587.922271674079</v>
      </c>
      <c r="Z33" s="4">
        <f t="shared" si="16"/>
        <v>12256.30588905002</v>
      </c>
      <c r="AA33" s="4">
        <f t="shared" si="16"/>
        <v>11055.187911923118</v>
      </c>
      <c r="AH33" s="4"/>
    </row>
    <row r="34" spans="1:34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H34" s="4"/>
    </row>
    <row r="35" spans="1:34">
      <c r="A35" s="3" t="s">
        <v>30</v>
      </c>
      <c r="B35" s="4">
        <f>$F3*(B32-B33)</f>
        <v>-158593.75</v>
      </c>
      <c r="C35" s="4">
        <f>$F3*(C32-C33)</f>
        <v>224820.70883000002</v>
      </c>
      <c r="D35" s="4">
        <f>$F3*(D32-D33)</f>
        <v>195897.47377039999</v>
      </c>
      <c r="E35" s="4">
        <f t="shared" ref="E35:AA35" si="17">$F3*(E32-E33)</f>
        <v>170422.18941795197</v>
      </c>
      <c r="F35" s="4">
        <f t="shared" si="17"/>
        <v>147980.53075029771</v>
      </c>
      <c r="G35" s="4">
        <f t="shared" si="17"/>
        <v>131801.76869145603</v>
      </c>
      <c r="H35" s="4">
        <f t="shared" si="17"/>
        <v>117187.66325074802</v>
      </c>
      <c r="I35" s="4">
        <f t="shared" si="17"/>
        <v>103984.35652800578</v>
      </c>
      <c r="J35" s="4">
        <f t="shared" si="17"/>
        <v>100646.80565848805</v>
      </c>
      <c r="K35" s="4">
        <f t="shared" si="17"/>
        <v>89862.306113438695</v>
      </c>
      <c r="L35" s="4">
        <f t="shared" si="17"/>
        <v>80111.65970904124</v>
      </c>
      <c r="M35" s="4">
        <f t="shared" si="17"/>
        <v>71292.973142142771</v>
      </c>
      <c r="N35" s="4">
        <f t="shared" si="17"/>
        <v>63314.324260915011</v>
      </c>
      <c r="O35" s="4">
        <f t="shared" si="17"/>
        <v>56092.784532215133</v>
      </c>
      <c r="P35" s="4">
        <f t="shared" si="17"/>
        <v>49553.537298149611</v>
      </c>
      <c r="Q35" s="4">
        <f t="shared" si="17"/>
        <v>43629.082434274766</v>
      </c>
      <c r="R35" s="4">
        <f t="shared" si="17"/>
        <v>38481.062318646633</v>
      </c>
      <c r="S35" s="4">
        <f t="shared" si="17"/>
        <v>33837.54817435005</v>
      </c>
      <c r="T35" s="4">
        <f t="shared" si="17"/>
        <v>29649.098416194542</v>
      </c>
      <c r="U35" s="4">
        <f t="shared" si="17"/>
        <v>25871.116734338266</v>
      </c>
      <c r="V35" s="4">
        <f t="shared" si="17"/>
        <v>26914.244793371272</v>
      </c>
      <c r="W35" s="4">
        <f t="shared" si="17"/>
        <v>23840.463785086285</v>
      </c>
      <c r="X35" s="4">
        <f t="shared" si="17"/>
        <v>21067.91331561323</v>
      </c>
      <c r="Y35" s="4">
        <f t="shared" si="17"/>
        <v>18567.072792148527</v>
      </c>
      <c r="Z35" s="4">
        <f t="shared" si="17"/>
        <v>16311.314639983369</v>
      </c>
      <c r="AA35" s="4">
        <f t="shared" si="17"/>
        <v>14276.620786730398</v>
      </c>
      <c r="AH35" s="4"/>
    </row>
    <row r="36" spans="1:34">
      <c r="A36" s="3" t="s">
        <v>31</v>
      </c>
      <c r="B36" s="7">
        <f t="shared" ref="B36:K36" si="18">B32-SUM(B33:B35)</f>
        <v>-294531.25</v>
      </c>
      <c r="C36" s="7">
        <f t="shared" si="18"/>
        <v>417524.17354142858</v>
      </c>
      <c r="D36" s="7">
        <f t="shared" si="18"/>
        <v>363809.5941450285</v>
      </c>
      <c r="E36" s="7">
        <f t="shared" si="18"/>
        <v>316498.35177619656</v>
      </c>
      <c r="F36" s="7">
        <f t="shared" si="18"/>
        <v>274820.98567912437</v>
      </c>
      <c r="G36" s="7">
        <f t="shared" si="18"/>
        <v>244774.71328413271</v>
      </c>
      <c r="H36" s="7">
        <f t="shared" si="18"/>
        <v>217634.23175138919</v>
      </c>
      <c r="I36" s="7">
        <f t="shared" si="18"/>
        <v>193113.80498058215</v>
      </c>
      <c r="J36" s="7">
        <f t="shared" si="18"/>
        <v>186915.4962229064</v>
      </c>
      <c r="K36" s="7">
        <f t="shared" si="18"/>
        <v>166887.13992495759</v>
      </c>
      <c r="L36" s="7">
        <f t="shared" ref="L36:U36" si="19">L32-SUM(L33:L35)</f>
        <v>148778.79660250517</v>
      </c>
      <c r="M36" s="7">
        <f t="shared" si="19"/>
        <v>132401.23583540801</v>
      </c>
      <c r="N36" s="7">
        <f t="shared" si="19"/>
        <v>117583.74505598505</v>
      </c>
      <c r="O36" s="7">
        <f t="shared" si="19"/>
        <v>104172.31413125669</v>
      </c>
      <c r="P36" s="7">
        <f t="shared" si="19"/>
        <v>92027.997839420699</v>
      </c>
      <c r="Q36" s="7">
        <f t="shared" si="19"/>
        <v>81025.438806510283</v>
      </c>
      <c r="R36" s="7">
        <f t="shared" si="19"/>
        <v>71464.830020343768</v>
      </c>
      <c r="S36" s="7">
        <f t="shared" si="19"/>
        <v>62841.160895221525</v>
      </c>
      <c r="T36" s="7">
        <f t="shared" si="19"/>
        <v>55062.611344361292</v>
      </c>
      <c r="U36" s="7">
        <f t="shared" si="19"/>
        <v>48046.359649485355</v>
      </c>
      <c r="V36" s="7">
        <f t="shared" ref="V36:AA36" si="20">V32-SUM(V33:V35)</f>
        <v>49983.597473403803</v>
      </c>
      <c r="W36" s="7">
        <f t="shared" si="20"/>
        <v>44275.147029445958</v>
      </c>
      <c r="X36" s="7">
        <f t="shared" si="20"/>
        <v>39126.124728996001</v>
      </c>
      <c r="Y36" s="7">
        <f t="shared" si="20"/>
        <v>34481.706613990122</v>
      </c>
      <c r="Z36" s="7">
        <f t="shared" si="20"/>
        <v>30292.441474254832</v>
      </c>
      <c r="AA36" s="7">
        <f t="shared" si="20"/>
        <v>26513.724318213597</v>
      </c>
      <c r="AH36" s="4"/>
    </row>
    <row r="37" spans="1:34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H37" s="4"/>
    </row>
    <row r="38" spans="1:34">
      <c r="A38" s="3" t="s">
        <v>32</v>
      </c>
      <c r="B38" s="7">
        <f>B36+B31+B33+B22</f>
        <v>-466406.25</v>
      </c>
      <c r="C38" s="7">
        <f t="shared" ref="C38:L38" si="21">C36+C31+C33</f>
        <v>583585.68996999995</v>
      </c>
      <c r="D38" s="7">
        <f t="shared" si="21"/>
        <v>512890.15717359993</v>
      </c>
      <c r="E38" s="7">
        <f t="shared" si="21"/>
        <v>450635.67581276799</v>
      </c>
      <c r="F38" s="7">
        <f t="shared" si="21"/>
        <v>395808.25940273574</v>
      </c>
      <c r="G38" s="7">
        <f t="shared" si="21"/>
        <v>356311.4841828302</v>
      </c>
      <c r="H38" s="7">
        <f t="shared" si="21"/>
        <v>320646.64910201431</v>
      </c>
      <c r="I38" s="7">
        <f t="shared" si="21"/>
        <v>288437.25543084601</v>
      </c>
      <c r="J38" s="7">
        <f t="shared" si="21"/>
        <v>250749.92710047297</v>
      </c>
      <c r="K38" s="7">
        <f t="shared" si="21"/>
        <v>224465.79657652264</v>
      </c>
      <c r="L38" s="7">
        <f t="shared" si="21"/>
        <v>200714.74490221683</v>
      </c>
      <c r="M38" s="7">
        <f t="shared" ref="M38:AA38" si="22">M36+M31+M33</f>
        <v>179247.46120174794</v>
      </c>
      <c r="N38" s="7">
        <f t="shared" si="22"/>
        <v>159839.04033642367</v>
      </c>
      <c r="O38" s="7">
        <f t="shared" si="22"/>
        <v>142286.59047421231</v>
      </c>
      <c r="P38" s="7">
        <f t="shared" si="22"/>
        <v>126407.07510076667</v>
      </c>
      <c r="Q38" s="7">
        <f t="shared" si="22"/>
        <v>112035.36649624434</v>
      </c>
      <c r="R38" s="7">
        <f t="shared" si="22"/>
        <v>99435.784796483887</v>
      </c>
      <c r="S38" s="7">
        <f t="shared" si="22"/>
        <v>88070.962103299913</v>
      </c>
      <c r="T38" s="7">
        <f t="shared" si="22"/>
        <v>77819.892034047996</v>
      </c>
      <c r="U38" s="7">
        <f t="shared" si="22"/>
        <v>68573.42683158275</v>
      </c>
      <c r="V38" s="7">
        <f t="shared" si="22"/>
        <v>68499.012071655656</v>
      </c>
      <c r="W38" s="7">
        <f t="shared" si="22"/>
        <v>60976.05099706912</v>
      </c>
      <c r="X38" s="7">
        <f t="shared" si="22"/>
        <v>54190.340107792101</v>
      </c>
      <c r="Y38" s="7">
        <f t="shared" si="22"/>
        <v>48069.628885664199</v>
      </c>
      <c r="Z38" s="7">
        <f t="shared" si="22"/>
        <v>42548.74736330485</v>
      </c>
      <c r="AA38" s="7">
        <f t="shared" si="22"/>
        <v>37568.912230136717</v>
      </c>
      <c r="AH38" s="4"/>
    </row>
    <row r="39" spans="1:34">
      <c r="A39" s="3" t="s">
        <v>33</v>
      </c>
      <c r="B39" s="7">
        <f>SUM($B38)</f>
        <v>-466406.25</v>
      </c>
      <c r="C39" s="7">
        <f>SUM($B38:C38)</f>
        <v>117179.43996999995</v>
      </c>
      <c r="D39" s="7">
        <f>SUM($B38:D38)</f>
        <v>630069.59714359988</v>
      </c>
      <c r="E39" s="7">
        <f>SUM($B38:E38)</f>
        <v>1080705.2729563678</v>
      </c>
      <c r="F39" s="7">
        <f>SUM($B38:F38)</f>
        <v>1476513.5323591037</v>
      </c>
      <c r="G39" s="7">
        <f>SUM($B38:G38)</f>
        <v>1832825.0165419339</v>
      </c>
      <c r="H39" s="7">
        <f>SUM($B38:H38)</f>
        <v>2153471.6656439481</v>
      </c>
      <c r="I39" s="7">
        <f>SUM($B38:I38)</f>
        <v>2441908.9210747941</v>
      </c>
      <c r="J39" s="7">
        <f>SUM($B38:J38)</f>
        <v>2692658.8481752672</v>
      </c>
      <c r="K39" s="7">
        <f>SUM($B38:K38)</f>
        <v>2917124.64475179</v>
      </c>
      <c r="L39" s="7">
        <f>SUM($B38:L38)</f>
        <v>3117839.3896540068</v>
      </c>
      <c r="M39" s="7">
        <f>SUM($B38:M38)</f>
        <v>3297086.8508557547</v>
      </c>
      <c r="N39" s="7">
        <f>SUM($B38:N38)</f>
        <v>3456925.8911921782</v>
      </c>
      <c r="O39" s="7">
        <f>SUM($B38:O38)</f>
        <v>3599212.4816663908</v>
      </c>
      <c r="P39" s="7">
        <f>SUM($B38:P38)</f>
        <v>3725619.5567671573</v>
      </c>
      <c r="Q39" s="7">
        <f>SUM($B38:Q38)</f>
        <v>3837654.9232634017</v>
      </c>
      <c r="R39" s="7">
        <f>SUM($B38:R38)</f>
        <v>3937090.7080598855</v>
      </c>
      <c r="S39" s="7">
        <f>SUM($B38:S38)</f>
        <v>4025161.6701631853</v>
      </c>
      <c r="T39" s="7">
        <f>SUM($B38:T38)</f>
        <v>4102981.5621972336</v>
      </c>
      <c r="U39" s="7">
        <f>SUM($B38:U38)</f>
        <v>4171554.9890288161</v>
      </c>
      <c r="V39" s="7">
        <f>SUM($B38:V38)</f>
        <v>4240054.0011004722</v>
      </c>
      <c r="W39" s="7">
        <f>SUM($B38:W38)</f>
        <v>4301030.0520975413</v>
      </c>
      <c r="X39" s="7">
        <f>SUM($B38:X38)</f>
        <v>4355220.3922053333</v>
      </c>
      <c r="Y39" s="7">
        <f>SUM($B38:Y38)</f>
        <v>4403290.0210909974</v>
      </c>
      <c r="Z39" s="7">
        <f>SUM($B38:Z38)</f>
        <v>4445838.7684543021</v>
      </c>
      <c r="AA39" s="7">
        <f>SUM($B38:AA38)</f>
        <v>4483407.6806844389</v>
      </c>
      <c r="AH39" s="4"/>
    </row>
    <row r="40" spans="1:34">
      <c r="A40" s="3" t="s">
        <v>34</v>
      </c>
      <c r="B40" s="7">
        <f>B38</f>
        <v>-466406.25</v>
      </c>
      <c r="C40" s="7">
        <f>NPV(0.25,C38)+$B38</f>
        <v>462.30197599995881</v>
      </c>
      <c r="D40" s="7">
        <f>NPV(0.25,$C38:D38)+$B38</f>
        <v>328712.00256710383</v>
      </c>
      <c r="E40" s="7">
        <f>NPV(0.25,$C38:E38)+$B38</f>
        <v>559437.46858324111</v>
      </c>
      <c r="F40" s="7">
        <f>NPV(0.25,$C38:F38)+$B38</f>
        <v>721560.53163460153</v>
      </c>
      <c r="G40" s="7">
        <f>NPV(0.25,$C38:G38)+$B38</f>
        <v>838316.67877163133</v>
      </c>
      <c r="H40" s="7">
        <f>NPV(0.25,$C38:H38)+$B38</f>
        <v>922372.27395382989</v>
      </c>
      <c r="I40" s="7">
        <f>NPV(0.25,$C38:I38)+$B38</f>
        <v>982861.950663961</v>
      </c>
      <c r="J40" s="7">
        <f>NPV(0.25,$C38:J38)+$B38</f>
        <v>1024930.8075534499</v>
      </c>
      <c r="K40" s="7">
        <f>NPV(0.25,$C38:K38)+$B38</f>
        <v>1055058.0967836608</v>
      </c>
      <c r="L40" s="7">
        <f>NPV(0.25,$C38:L38)+$B38</f>
        <v>1076609.6784131611</v>
      </c>
      <c r="M40" s="7">
        <f>NPV(0.25,$C38:M38)+$B38</f>
        <v>1092006.9180882119</v>
      </c>
      <c r="N40" s="7">
        <f>NPV(0.25,$C38:N38)+$B38</f>
        <v>1102990.9733021152</v>
      </c>
      <c r="O40" s="7">
        <f>NPV(0.25,$C38:O38)+$B38</f>
        <v>1110813.2613372651</v>
      </c>
      <c r="P40" s="7">
        <f>NPV(0.25,$C38:P38)+$B38</f>
        <v>1116372.7032935231</v>
      </c>
      <c r="Q40" s="7">
        <f>NPV(0.25,$C38:Q38)+$B38</f>
        <v>1120314.5973154355</v>
      </c>
      <c r="R40" s="7">
        <f>NPV(0.25,$C38:R38)+$B38</f>
        <v>1123113.4658364151</v>
      </c>
      <c r="S40" s="7">
        <f>NPV(0.25,$C38:S38)+$B38</f>
        <v>1125096.6475969679</v>
      </c>
      <c r="T40" s="7">
        <f>NPV(0.25,$C38:T38)+$B38</f>
        <v>1126498.5261440342</v>
      </c>
      <c r="U40" s="7">
        <f>NPV(0.25,$C38:U38)+$B38</f>
        <v>1127486.7733745181</v>
      </c>
      <c r="V40" s="7">
        <f>NPV(0.25,$C38:V38)+$B38</f>
        <v>1128276.5132151356</v>
      </c>
      <c r="W40" s="7">
        <f>NPV(0.25,$C38:W38)+$B38</f>
        <v>1128838.9180188198</v>
      </c>
      <c r="X40" s="7">
        <f>NPV(0.25,$C38:X38)+$B38</f>
        <v>1129238.7721529142</v>
      </c>
      <c r="Y40" s="7">
        <f>NPV(0.25,$C38:Y38)+$B38</f>
        <v>1129522.5251582812</v>
      </c>
      <c r="Z40" s="7">
        <f>NPV(0.25,$C38:Z38)+$B38</f>
        <v>1129723.4559367178</v>
      </c>
      <c r="AA40" s="7">
        <f>NPV(0.25,$C38:AA38)+$B38</f>
        <v>1129865.3872742485</v>
      </c>
      <c r="AH40" s="4"/>
    </row>
    <row r="41" spans="1:34">
      <c r="AC41" s="7"/>
      <c r="AD41" s="7"/>
      <c r="AE41" s="7"/>
      <c r="AH41" s="4"/>
    </row>
    <row r="42" spans="1:34"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H42" s="4"/>
    </row>
    <row r="43" spans="1:34">
      <c r="AH43" s="4"/>
    </row>
    <row r="44" spans="1:34">
      <c r="AH44" s="4"/>
    </row>
    <row r="45" spans="1:34">
      <c r="B45" s="9"/>
      <c r="C45" s="9"/>
      <c r="E45" s="9"/>
      <c r="F45" s="9"/>
      <c r="G45" s="9"/>
      <c r="H45" s="9"/>
      <c r="J45" s="9"/>
      <c r="K45" s="9"/>
      <c r="L45" s="9"/>
      <c r="M45" s="9"/>
      <c r="N45" s="9"/>
      <c r="P45" s="9"/>
      <c r="Q45" s="9"/>
      <c r="R45" s="9"/>
      <c r="T45" s="9"/>
      <c r="U45" s="9"/>
      <c r="V45" s="9"/>
      <c r="W45" s="9"/>
      <c r="X45" s="9"/>
      <c r="Y45" s="9"/>
      <c r="Z45" s="9"/>
      <c r="AA45" s="9"/>
      <c r="AH45" s="4"/>
    </row>
    <row r="46" spans="1:34">
      <c r="B46" s="9"/>
      <c r="C46" s="9"/>
      <c r="E46" s="9"/>
      <c r="F46" s="9"/>
      <c r="G46" s="9"/>
      <c r="H46" s="9"/>
      <c r="J46" s="9"/>
      <c r="K46" s="9"/>
      <c r="L46" s="9"/>
      <c r="M46" s="9"/>
      <c r="N46" s="9"/>
      <c r="P46" s="9"/>
      <c r="Q46" s="9"/>
      <c r="R46" s="9"/>
      <c r="T46" s="9"/>
      <c r="U46" s="9"/>
      <c r="V46" s="9"/>
      <c r="W46" s="9"/>
      <c r="X46" s="9"/>
      <c r="Y46" s="9"/>
      <c r="Z46" s="9"/>
      <c r="AA46" s="9"/>
      <c r="AH46" s="4"/>
    </row>
    <row r="47" spans="1:34">
      <c r="B47" s="9"/>
      <c r="C47" s="9"/>
      <c r="E47" s="9"/>
      <c r="F47" s="9"/>
      <c r="G47" s="9"/>
      <c r="H47" s="9"/>
      <c r="J47" s="9"/>
      <c r="K47" s="9"/>
      <c r="L47" s="9"/>
      <c r="M47" s="9"/>
      <c r="N47" s="9"/>
      <c r="P47" s="9"/>
      <c r="Q47" s="9"/>
      <c r="R47" s="9"/>
      <c r="T47" s="9"/>
      <c r="U47" s="9"/>
      <c r="V47" s="9"/>
      <c r="W47" s="9"/>
      <c r="X47" s="9"/>
      <c r="Y47" s="9"/>
      <c r="Z47" s="9"/>
      <c r="AA47" s="9"/>
      <c r="AH47" s="4"/>
    </row>
    <row r="48" spans="1:34">
      <c r="B48" s="9"/>
      <c r="W48" s="4"/>
      <c r="X48" s="4"/>
      <c r="Y48" s="4"/>
      <c r="Z48" s="16"/>
      <c r="AH48" s="4"/>
    </row>
    <row r="49" spans="2:34">
      <c r="B49" s="9"/>
      <c r="C49" s="9"/>
      <c r="E49" s="9"/>
      <c r="F49" s="9"/>
      <c r="G49" s="9"/>
      <c r="H49" s="9"/>
      <c r="M49" s="9"/>
      <c r="N49" s="9"/>
      <c r="P49" s="9"/>
      <c r="Q49" s="9"/>
      <c r="R49" s="9"/>
      <c r="T49" s="9"/>
      <c r="U49" s="9"/>
      <c r="W49" s="4"/>
      <c r="X49" s="4"/>
      <c r="Y49" s="4"/>
      <c r="Z49" s="16"/>
      <c r="AH49" s="4"/>
    </row>
    <row r="50" spans="2:34">
      <c r="L50" s="4"/>
      <c r="M50" s="4"/>
      <c r="Q50" s="4"/>
      <c r="R50" s="4"/>
      <c r="T50" s="4"/>
      <c r="W50" s="4"/>
      <c r="X50" s="4"/>
      <c r="Y50" s="4"/>
      <c r="Z50" s="16"/>
      <c r="AH50" s="4"/>
    </row>
    <row r="51" spans="2:34">
      <c r="B51" s="9"/>
      <c r="C51" s="4"/>
      <c r="E51" s="4"/>
      <c r="F51" s="4"/>
      <c r="G51" s="4"/>
      <c r="H51" s="4"/>
      <c r="J51" s="4"/>
      <c r="L51" s="4"/>
      <c r="N51" s="17"/>
      <c r="P51" s="4"/>
      <c r="Q51" s="4"/>
      <c r="R51" s="4"/>
      <c r="T51" s="4"/>
      <c r="U51" s="18"/>
      <c r="W51" s="4"/>
      <c r="X51" s="4"/>
      <c r="Y51" s="4"/>
      <c r="Z51" s="16"/>
      <c r="AH51" s="9"/>
    </row>
    <row r="52" spans="2:34">
      <c r="B52" s="9"/>
      <c r="C52" s="4"/>
      <c r="E52" s="4"/>
      <c r="F52" s="4"/>
      <c r="G52" s="4"/>
      <c r="H52" s="4"/>
      <c r="J52" s="4"/>
      <c r="K52" s="4"/>
      <c r="L52" s="4"/>
      <c r="M52" s="4"/>
      <c r="N52" s="17"/>
      <c r="P52" s="4"/>
      <c r="Q52" s="4"/>
      <c r="R52" s="4"/>
      <c r="T52" s="4"/>
      <c r="U52" s="18"/>
      <c r="W52" s="4"/>
      <c r="X52" s="4"/>
      <c r="Y52" s="4"/>
      <c r="Z52" s="16"/>
      <c r="AH52" s="4"/>
    </row>
    <row r="53" spans="2:34">
      <c r="B53" s="9"/>
      <c r="C53" s="4"/>
      <c r="E53" s="4"/>
      <c r="F53" s="4"/>
      <c r="G53" s="4"/>
      <c r="H53" s="4"/>
      <c r="J53" s="4"/>
      <c r="K53" s="4"/>
      <c r="L53" s="4"/>
      <c r="M53" s="4"/>
      <c r="N53" s="17"/>
      <c r="P53" s="4"/>
      <c r="Q53" s="4"/>
      <c r="R53" s="4"/>
      <c r="T53" s="4"/>
      <c r="U53" s="18"/>
      <c r="W53" s="4"/>
      <c r="X53" s="4"/>
      <c r="Y53" s="4"/>
      <c r="Z53" s="16"/>
    </row>
    <row r="54" spans="2:34">
      <c r="B54" s="9"/>
      <c r="C54" s="4"/>
      <c r="E54" s="4"/>
      <c r="F54" s="4"/>
      <c r="G54" s="4"/>
      <c r="H54" s="4"/>
      <c r="J54" s="4"/>
      <c r="K54" s="4"/>
      <c r="L54" s="4"/>
      <c r="M54" s="4"/>
      <c r="N54" s="17"/>
      <c r="P54" s="4"/>
      <c r="Q54" s="4"/>
      <c r="R54" s="4"/>
      <c r="T54" s="4"/>
      <c r="U54" s="18"/>
      <c r="W54" s="4"/>
      <c r="X54" s="4"/>
      <c r="Y54" s="4"/>
      <c r="Z54" s="16"/>
    </row>
    <row r="55" spans="2:34">
      <c r="B55" s="9"/>
      <c r="C55" s="4"/>
      <c r="E55" s="4"/>
      <c r="F55" s="4"/>
      <c r="G55" s="4"/>
      <c r="H55" s="4"/>
      <c r="J55" s="4"/>
      <c r="K55" s="4"/>
      <c r="L55" s="4"/>
      <c r="M55" s="4"/>
      <c r="N55" s="17"/>
      <c r="P55" s="4"/>
      <c r="Q55" s="4"/>
      <c r="R55" s="4"/>
      <c r="T55" s="4"/>
      <c r="U55" s="18"/>
      <c r="W55" s="4"/>
      <c r="X55" s="4"/>
      <c r="Y55" s="4"/>
      <c r="Z55" s="16"/>
    </row>
    <row r="56" spans="2:34">
      <c r="B56" s="9"/>
      <c r="C56" s="4"/>
      <c r="E56" s="4"/>
      <c r="F56" s="4"/>
      <c r="G56" s="4"/>
      <c r="H56" s="4"/>
      <c r="J56" s="4"/>
      <c r="K56" s="4"/>
      <c r="L56" s="4"/>
      <c r="M56" s="4"/>
      <c r="N56" s="17"/>
      <c r="P56" s="4"/>
      <c r="Q56" s="4"/>
      <c r="R56" s="4"/>
      <c r="T56" s="4"/>
      <c r="U56" s="18"/>
      <c r="W56" s="9"/>
      <c r="X56" s="9"/>
      <c r="Y56" s="9"/>
    </row>
    <row r="57" spans="2:34">
      <c r="B57" s="9"/>
      <c r="C57" s="4"/>
      <c r="E57" s="4"/>
      <c r="F57" s="4"/>
      <c r="G57" s="4"/>
      <c r="H57" s="4"/>
      <c r="J57" s="4"/>
      <c r="K57" s="4"/>
      <c r="L57" s="4"/>
      <c r="M57" s="4"/>
      <c r="N57" s="17"/>
      <c r="P57" s="4"/>
      <c r="Q57" s="4"/>
      <c r="R57" s="4"/>
      <c r="T57" s="4"/>
      <c r="U57" s="18"/>
      <c r="W57" s="4"/>
      <c r="X57" s="4"/>
      <c r="Y57" s="4"/>
    </row>
    <row r="58" spans="2:34">
      <c r="B58" s="9"/>
      <c r="C58" s="4"/>
      <c r="E58" s="4"/>
      <c r="F58" s="4"/>
      <c r="G58" s="4"/>
      <c r="H58" s="4"/>
      <c r="J58" s="4"/>
      <c r="L58" s="4"/>
      <c r="M58" s="4"/>
      <c r="N58" s="17"/>
      <c r="P58" s="4"/>
      <c r="Q58" s="4"/>
      <c r="R58" s="4"/>
      <c r="T58" s="4"/>
      <c r="U58" s="18"/>
    </row>
    <row r="59" spans="2:34">
      <c r="B59" s="9"/>
      <c r="C59" s="4"/>
      <c r="E59" s="4"/>
      <c r="F59" s="4"/>
      <c r="G59" s="4"/>
      <c r="H59" s="4"/>
      <c r="J59" s="4"/>
      <c r="L59" s="4"/>
      <c r="M59" s="4"/>
      <c r="N59" s="17"/>
      <c r="P59" s="4"/>
      <c r="Q59" s="4"/>
      <c r="R59" s="4"/>
      <c r="T59" s="4"/>
      <c r="U59" s="18"/>
    </row>
    <row r="60" spans="2:34">
      <c r="B60" s="9"/>
      <c r="C60" s="4"/>
      <c r="E60" s="4"/>
      <c r="F60" s="4"/>
      <c r="G60" s="4"/>
      <c r="H60" s="4"/>
      <c r="J60" s="4"/>
      <c r="L60" s="4"/>
      <c r="M60" s="4"/>
      <c r="N60" s="17"/>
      <c r="P60" s="4"/>
      <c r="Q60" s="4"/>
      <c r="R60" s="4"/>
      <c r="T60" s="4"/>
      <c r="U60" s="18"/>
    </row>
    <row r="61" spans="2:34">
      <c r="B61" s="9"/>
      <c r="C61" s="4"/>
      <c r="E61" s="4"/>
      <c r="F61" s="4"/>
      <c r="G61" s="4"/>
      <c r="H61" s="4"/>
      <c r="J61" s="4"/>
      <c r="L61" s="4"/>
      <c r="M61" s="4"/>
      <c r="N61" s="17"/>
      <c r="P61" s="4"/>
      <c r="Q61" s="4"/>
      <c r="R61" s="4"/>
      <c r="T61" s="4"/>
      <c r="U61" s="18"/>
    </row>
    <row r="62" spans="2:34">
      <c r="B62" s="9"/>
      <c r="C62" s="4"/>
      <c r="E62" s="4"/>
      <c r="F62" s="4"/>
      <c r="G62" s="4"/>
      <c r="H62" s="4"/>
      <c r="J62" s="4"/>
      <c r="L62" s="4"/>
      <c r="M62" s="4"/>
      <c r="N62" s="17"/>
      <c r="P62" s="4"/>
      <c r="Q62" s="4"/>
      <c r="R62" s="4"/>
      <c r="T62" s="4"/>
      <c r="U62" s="18"/>
    </row>
    <row r="63" spans="2:34">
      <c r="B63" s="9"/>
      <c r="C63" s="4"/>
      <c r="E63" s="4"/>
      <c r="F63" s="4"/>
      <c r="G63" s="4"/>
      <c r="H63" s="4"/>
      <c r="J63" s="4"/>
      <c r="L63" s="4"/>
      <c r="M63" s="4"/>
      <c r="N63" s="17"/>
      <c r="P63" s="4"/>
      <c r="Q63" s="4"/>
      <c r="R63" s="4"/>
      <c r="T63" s="4"/>
      <c r="U63" s="18"/>
    </row>
    <row r="64" spans="2:34">
      <c r="B64" s="9"/>
      <c r="C64" s="4"/>
      <c r="E64" s="4"/>
      <c r="F64" s="4"/>
      <c r="G64" s="4"/>
      <c r="H64" s="4"/>
      <c r="J64" s="4"/>
      <c r="L64" s="4"/>
      <c r="M64" s="4"/>
      <c r="N64" s="17"/>
      <c r="P64" s="4"/>
      <c r="Q64" s="4"/>
      <c r="R64" s="4"/>
      <c r="T64" s="4"/>
      <c r="U64" s="18"/>
    </row>
    <row r="65" spans="2:21">
      <c r="B65" s="9"/>
      <c r="C65" s="4"/>
      <c r="E65" s="4"/>
      <c r="F65" s="4"/>
      <c r="G65" s="4"/>
      <c r="H65" s="4"/>
      <c r="J65" s="4"/>
      <c r="L65" s="4"/>
      <c r="M65" s="4"/>
      <c r="N65" s="17"/>
      <c r="P65" s="4"/>
      <c r="Q65" s="4"/>
      <c r="R65" s="4"/>
      <c r="T65" s="4"/>
      <c r="U65" s="18"/>
    </row>
    <row r="66" spans="2:21">
      <c r="B66" s="9"/>
      <c r="C66" s="4"/>
      <c r="E66" s="4"/>
      <c r="F66" s="4"/>
      <c r="G66" s="4"/>
      <c r="H66" s="4"/>
      <c r="J66" s="4"/>
      <c r="L66" s="4"/>
      <c r="M66" s="4"/>
      <c r="N66" s="17"/>
      <c r="O66" s="4"/>
      <c r="P66" s="4"/>
      <c r="Q66" s="4"/>
      <c r="R66" s="4"/>
      <c r="T66" s="4"/>
      <c r="U66" s="18"/>
    </row>
    <row r="67" spans="2:21">
      <c r="B67" s="9"/>
      <c r="C67" s="4"/>
      <c r="E67" s="4"/>
      <c r="F67" s="4"/>
      <c r="G67" s="4"/>
      <c r="H67" s="4"/>
      <c r="J67" s="4"/>
      <c r="L67" s="4"/>
      <c r="M67" s="4"/>
      <c r="N67" s="17"/>
      <c r="O67" s="4"/>
      <c r="P67" s="4"/>
      <c r="Q67" s="4"/>
      <c r="R67" s="4"/>
      <c r="T67" s="4"/>
      <c r="U67" s="18"/>
    </row>
    <row r="68" spans="2:21">
      <c r="B68" s="9"/>
      <c r="C68" s="4"/>
      <c r="E68" s="4"/>
      <c r="F68" s="4"/>
      <c r="G68" s="4"/>
      <c r="H68" s="4"/>
      <c r="J68" s="4"/>
      <c r="L68" s="4"/>
      <c r="M68" s="4"/>
      <c r="N68" s="17"/>
      <c r="O68" s="4"/>
      <c r="P68" s="4"/>
      <c r="Q68" s="4"/>
      <c r="R68" s="4"/>
      <c r="T68" s="4"/>
      <c r="U68" s="18"/>
    </row>
    <row r="69" spans="2:21">
      <c r="B69" s="9"/>
      <c r="C69" s="4"/>
      <c r="E69" s="4"/>
      <c r="F69" s="4"/>
      <c r="G69" s="4"/>
      <c r="H69" s="4"/>
      <c r="J69" s="4"/>
      <c r="L69" s="4"/>
      <c r="M69" s="4"/>
      <c r="N69" s="17"/>
      <c r="O69" s="4"/>
      <c r="P69" s="4"/>
      <c r="Q69" s="4"/>
      <c r="R69" s="4"/>
      <c r="T69" s="4"/>
      <c r="U69" s="18"/>
    </row>
    <row r="70" spans="2:21">
      <c r="B70" s="9"/>
      <c r="C70" s="4"/>
      <c r="E70" s="4"/>
      <c r="F70" s="4"/>
      <c r="G70" s="4"/>
      <c r="H70" s="4"/>
      <c r="J70" s="4"/>
      <c r="L70" s="4"/>
      <c r="M70" s="4"/>
      <c r="N70" s="17"/>
      <c r="O70" s="4"/>
      <c r="P70" s="4"/>
      <c r="Q70" s="4"/>
      <c r="R70" s="4"/>
      <c r="T70" s="4"/>
      <c r="U70" s="18"/>
    </row>
    <row r="71" spans="2:21">
      <c r="B71" s="9"/>
      <c r="C71" s="4"/>
      <c r="E71" s="4"/>
      <c r="F71" s="4"/>
      <c r="G71" s="4"/>
      <c r="H71" s="4"/>
      <c r="J71" s="4"/>
      <c r="L71" s="4"/>
      <c r="M71" s="4"/>
      <c r="N71" s="17"/>
      <c r="O71" s="4"/>
      <c r="P71" s="4"/>
      <c r="Q71" s="4"/>
      <c r="R71" s="4"/>
      <c r="T71" s="4"/>
      <c r="U71" s="18"/>
    </row>
    <row r="72" spans="2:21">
      <c r="B72" s="9"/>
      <c r="C72" s="4"/>
      <c r="E72" s="4"/>
      <c r="F72" s="4"/>
      <c r="G72" s="4"/>
      <c r="H72" s="4"/>
      <c r="J72" s="4"/>
      <c r="L72" s="4"/>
      <c r="M72" s="4"/>
      <c r="N72" s="17"/>
      <c r="O72" s="4"/>
      <c r="P72" s="4"/>
      <c r="Q72" s="4"/>
      <c r="R72" s="4"/>
      <c r="T72" s="4"/>
      <c r="U72" s="18"/>
    </row>
    <row r="73" spans="2:21">
      <c r="B73" s="9"/>
      <c r="C73" s="4"/>
      <c r="E73" s="4"/>
      <c r="F73" s="4"/>
      <c r="G73" s="4"/>
      <c r="H73" s="4"/>
      <c r="J73" s="4"/>
      <c r="L73" s="4"/>
      <c r="M73" s="4"/>
      <c r="N73" s="17"/>
      <c r="O73" s="4"/>
      <c r="P73" s="4"/>
      <c r="Q73" s="4"/>
      <c r="R73" s="4"/>
      <c r="T73" s="4"/>
      <c r="U73" s="18"/>
    </row>
    <row r="74" spans="2:21">
      <c r="B74" s="9"/>
      <c r="C74" s="4"/>
      <c r="E74" s="4"/>
      <c r="F74" s="4"/>
      <c r="G74" s="4"/>
      <c r="H74" s="4"/>
      <c r="J74" s="4"/>
      <c r="L74" s="4"/>
      <c r="M74" s="4"/>
      <c r="N74" s="17"/>
      <c r="O74" s="4"/>
      <c r="P74" s="4"/>
      <c r="Q74" s="4"/>
      <c r="R74" s="4"/>
      <c r="T74" s="4"/>
      <c r="U74" s="18"/>
    </row>
    <row r="75" spans="2:21">
      <c r="B75" s="9"/>
      <c r="C75" s="4"/>
      <c r="E75" s="4"/>
      <c r="F75" s="4"/>
      <c r="G75" s="4"/>
      <c r="H75" s="4"/>
      <c r="J75" s="4"/>
      <c r="L75" s="4"/>
      <c r="M75" s="4"/>
      <c r="N75" s="17"/>
      <c r="O75" s="4"/>
      <c r="P75" s="4"/>
      <c r="Q75" s="4"/>
      <c r="R75" s="4"/>
      <c r="T75" s="4"/>
      <c r="U75" s="18"/>
    </row>
    <row r="76" spans="2:21">
      <c r="E76" s="9"/>
      <c r="F76" s="9"/>
      <c r="G76" s="9"/>
      <c r="H76" s="9"/>
      <c r="J76" s="9"/>
      <c r="K76" s="9"/>
      <c r="L76" s="9"/>
      <c r="M76" s="9"/>
      <c r="N76" s="9"/>
      <c r="O76" s="9"/>
      <c r="P76" s="9"/>
      <c r="Q76" s="9"/>
      <c r="R76" s="9"/>
      <c r="T76" s="9"/>
    </row>
    <row r="77" spans="2:21">
      <c r="C77" s="4"/>
      <c r="E77" s="4"/>
      <c r="F77" s="4"/>
      <c r="G77" s="4"/>
      <c r="H77" s="4"/>
      <c r="J77" s="4"/>
      <c r="K77" s="4"/>
      <c r="L77" s="4"/>
      <c r="M77" s="4"/>
      <c r="N77" s="4"/>
      <c r="O77" s="4"/>
      <c r="P77" s="4"/>
      <c r="Q77" s="4"/>
      <c r="R77" s="4"/>
      <c r="T77" s="4"/>
      <c r="U77" s="18"/>
    </row>
    <row r="79" spans="2:21">
      <c r="K79" s="8"/>
      <c r="T79" s="8"/>
    </row>
    <row r="80" spans="2:21">
      <c r="K80" s="8"/>
      <c r="T80" s="8"/>
    </row>
    <row r="87" spans="13:13">
      <c r="M87" s="8"/>
    </row>
    <row r="100" spans="4:18">
      <c r="L100" s="7"/>
      <c r="P100" s="7"/>
      <c r="Q100" s="7"/>
      <c r="R100" s="7"/>
    </row>
    <row r="101" spans="4:18">
      <c r="L101" s="7"/>
      <c r="O101" s="7"/>
      <c r="P101" s="7"/>
      <c r="Q101" s="7"/>
      <c r="R101" s="7"/>
    </row>
    <row r="104" spans="4:18">
      <c r="D104" s="8"/>
      <c r="O104" s="7"/>
      <c r="P104" s="7"/>
      <c r="Q104" s="7"/>
      <c r="R104" s="19"/>
    </row>
    <row r="105" spans="4:18">
      <c r="D105" s="8"/>
      <c r="O105" s="7"/>
      <c r="P105" s="7"/>
      <c r="Q105" s="7"/>
    </row>
    <row r="106" spans="4:18">
      <c r="D106" s="8"/>
      <c r="O106" s="18"/>
      <c r="P106" s="7"/>
      <c r="Q106" s="18"/>
    </row>
    <row r="107" spans="4:18">
      <c r="D107" s="8"/>
      <c r="O107" s="7"/>
      <c r="P107" s="7"/>
      <c r="Q107" s="7"/>
    </row>
    <row r="108" spans="4:18">
      <c r="D108" s="8"/>
      <c r="O108" s="16"/>
      <c r="P108" s="7"/>
      <c r="Q108" s="16"/>
    </row>
    <row r="109" spans="4:18">
      <c r="D109" s="8"/>
      <c r="O109" s="20"/>
      <c r="P109" s="7"/>
      <c r="Q109" s="20"/>
    </row>
    <row r="110" spans="4:18">
      <c r="D110" s="8"/>
    </row>
    <row r="111" spans="4:18">
      <c r="D111" s="8"/>
    </row>
    <row r="112" spans="4:18">
      <c r="D112" s="8"/>
    </row>
    <row r="113" spans="2:17">
      <c r="D113" s="8"/>
      <c r="O113" s="18"/>
      <c r="P113" s="7"/>
      <c r="Q113" s="18"/>
    </row>
    <row r="114" spans="2:17">
      <c r="D114" s="8"/>
      <c r="O114" s="7"/>
      <c r="P114" s="7"/>
      <c r="Q114" s="7"/>
    </row>
    <row r="115" spans="2:17">
      <c r="D115" s="8"/>
    </row>
    <row r="116" spans="2:17">
      <c r="D116" s="8"/>
      <c r="O116" s="7"/>
      <c r="P116" s="7"/>
      <c r="Q116" s="7"/>
    </row>
    <row r="117" spans="2:17">
      <c r="D117" s="8"/>
      <c r="O117" s="7"/>
      <c r="P117" s="7"/>
      <c r="Q117" s="7"/>
    </row>
    <row r="118" spans="2:17">
      <c r="D118" s="8"/>
      <c r="E118" s="8"/>
      <c r="O118" s="7"/>
      <c r="P118" s="7"/>
      <c r="Q118" s="11"/>
    </row>
    <row r="119" spans="2:17">
      <c r="D119" s="8"/>
      <c r="O119" s="7"/>
      <c r="P119" s="7"/>
      <c r="Q119" s="11"/>
    </row>
    <row r="120" spans="2:17">
      <c r="D120" s="8"/>
      <c r="O120" s="7"/>
      <c r="P120" s="7"/>
      <c r="Q120" s="11"/>
    </row>
    <row r="121" spans="2:17">
      <c r="D121" s="8"/>
      <c r="O121" s="7"/>
      <c r="P121" s="7"/>
      <c r="Q121" s="11"/>
    </row>
    <row r="122" spans="2:17">
      <c r="D122" s="8"/>
      <c r="O122" s="7"/>
      <c r="P122" s="7"/>
      <c r="Q122" s="11"/>
    </row>
    <row r="123" spans="2:17">
      <c r="D123" s="8"/>
      <c r="O123" s="7"/>
      <c r="P123" s="7"/>
      <c r="Q123" s="7"/>
    </row>
    <row r="124" spans="2:17">
      <c r="D124" s="8"/>
      <c r="O124" s="7"/>
      <c r="P124" s="7"/>
      <c r="Q124" s="12"/>
    </row>
    <row r="125" spans="2:17">
      <c r="D125" s="8"/>
      <c r="O125" s="7"/>
      <c r="P125" s="7"/>
      <c r="Q125" s="4"/>
    </row>
    <row r="126" spans="2:17">
      <c r="B126" s="17"/>
      <c r="C126" s="17"/>
      <c r="D126" s="8"/>
      <c r="O126" s="7"/>
      <c r="P126" s="7"/>
      <c r="Q126" s="19"/>
    </row>
    <row r="127" spans="2:17">
      <c r="B127" s="17"/>
      <c r="C127" s="17"/>
      <c r="D127" s="8"/>
    </row>
    <row r="128" spans="2:17">
      <c r="B128" s="17"/>
      <c r="C128" s="17"/>
      <c r="G128" s="8"/>
      <c r="H128" s="8"/>
    </row>
    <row r="129" spans="2:18">
      <c r="B129" s="17"/>
      <c r="C129" s="17"/>
      <c r="G129" s="8"/>
      <c r="H129" s="8"/>
    </row>
    <row r="131" spans="2:18">
      <c r="M131" s="4"/>
      <c r="Q131" s="8"/>
    </row>
    <row r="132" spans="2:18">
      <c r="M132" s="4"/>
      <c r="Q132" s="8"/>
    </row>
    <row r="133" spans="2:18">
      <c r="M133" s="4"/>
      <c r="Q133" s="8"/>
    </row>
    <row r="134" spans="2:18">
      <c r="M134" s="4"/>
      <c r="Q134" s="8"/>
    </row>
    <row r="135" spans="2:18">
      <c r="O135" s="7"/>
      <c r="P135" s="7"/>
      <c r="Q135" s="7"/>
    </row>
    <row r="136" spans="2:18">
      <c r="R136" s="7"/>
    </row>
    <row r="150" spans="17:17">
      <c r="Q150" s="8"/>
    </row>
    <row r="152" spans="17:17">
      <c r="Q152" s="8"/>
    </row>
    <row r="155" spans="17:17">
      <c r="Q155" s="8"/>
    </row>
    <row r="157" spans="17:17">
      <c r="Q157" s="7"/>
    </row>
    <row r="158" spans="17:17">
      <c r="Q158" s="7"/>
    </row>
    <row r="159" spans="17:17">
      <c r="Q159" s="8"/>
    </row>
    <row r="162" spans="17:17">
      <c r="Q162" s="8"/>
    </row>
    <row r="163" spans="17:17">
      <c r="Q163" s="8"/>
    </row>
    <row r="164" spans="17:17">
      <c r="Q164" s="8"/>
    </row>
    <row r="165" spans="17:17">
      <c r="Q165" s="8"/>
    </row>
    <row r="166" spans="17:17">
      <c r="Q166" s="12"/>
    </row>
    <row r="169" spans="17:17">
      <c r="Q169" s="8"/>
    </row>
    <row r="170" spans="17:17">
      <c r="Q170" s="8"/>
    </row>
    <row r="190" spans="1:1">
      <c r="A190" s="3" t="s">
        <v>35</v>
      </c>
    </row>
    <row r="210" spans="1:1">
      <c r="A210" s="3" t="s">
        <v>35</v>
      </c>
    </row>
  </sheetData>
  <phoneticPr fontId="0" type="noConversion"/>
  <printOptions gridLinesSet="0"/>
  <pageMargins left="0.75" right="0.75" top="1" bottom="1" header="0.5" footer="0.5"/>
  <pageSetup scale="18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="80" zoomScaleNormal="80" zoomScalePageLayoutView="80" workbookViewId="0">
      <selection activeCell="B12" sqref="B12"/>
    </sheetView>
  </sheetViews>
  <sheetFormatPr baseColWidth="10" defaultColWidth="8.83203125" defaultRowHeight="12" x14ac:dyDescent="0"/>
  <cols>
    <col min="1" max="1" width="31.6640625" customWidth="1"/>
    <col min="2" max="2" width="13.1640625" customWidth="1"/>
    <col min="3" max="3" width="13.6640625" customWidth="1"/>
    <col min="4" max="5" width="12.83203125" customWidth="1"/>
    <col min="6" max="6" width="13.1640625" customWidth="1"/>
    <col min="7" max="7" width="13.5" customWidth="1"/>
    <col min="8" max="8" width="14" customWidth="1"/>
    <col min="9" max="9" width="13.5" customWidth="1"/>
    <col min="10" max="10" width="14.33203125" customWidth="1"/>
    <col min="11" max="11" width="14.1640625" customWidth="1"/>
    <col min="12" max="12" width="14" customWidth="1"/>
    <col min="13" max="13" width="13.1640625" customWidth="1"/>
    <col min="14" max="14" width="10.1640625" customWidth="1"/>
  </cols>
  <sheetData>
    <row r="1" spans="1:17">
      <c r="A1" s="24" t="s">
        <v>0</v>
      </c>
      <c r="B1" s="26" t="s">
        <v>1</v>
      </c>
      <c r="D1" s="25" t="s">
        <v>2</v>
      </c>
      <c r="H1" s="25" t="s">
        <v>3</v>
      </c>
      <c r="N1" s="4"/>
    </row>
    <row r="2" spans="1:17">
      <c r="A2" s="5" t="s">
        <v>4</v>
      </c>
      <c r="B2" s="5" t="s">
        <v>4</v>
      </c>
      <c r="C2" s="5" t="s">
        <v>4</v>
      </c>
      <c r="D2" s="5" t="s">
        <v>4</v>
      </c>
      <c r="E2" s="5" t="s">
        <v>4</v>
      </c>
      <c r="F2" s="5" t="s">
        <v>4</v>
      </c>
      <c r="G2" s="5" t="s">
        <v>4</v>
      </c>
      <c r="H2" s="5" t="s">
        <v>4</v>
      </c>
      <c r="I2" s="3" t="s">
        <v>5</v>
      </c>
      <c r="K2" s="6" t="s">
        <v>4</v>
      </c>
      <c r="L2" s="6" t="s">
        <v>4</v>
      </c>
      <c r="M2" s="6" t="s">
        <v>4</v>
      </c>
    </row>
    <row r="3" spans="1:17">
      <c r="A3" s="2" t="s">
        <v>6</v>
      </c>
      <c r="B3" s="7">
        <v>625000</v>
      </c>
      <c r="C3" s="1" t="s">
        <v>7</v>
      </c>
      <c r="D3" s="2" t="s">
        <v>8</v>
      </c>
      <c r="F3" s="18">
        <v>0.35</v>
      </c>
      <c r="G3" s="1" t="s">
        <v>7</v>
      </c>
      <c r="H3" s="2" t="s">
        <v>9</v>
      </c>
      <c r="L3" s="9" t="e">
        <f>IF(C39&gt;0,(-B39/C38)*12,IF(D39&gt;0,(-C39/D38)*12+12,IF(E39&gt;0,(-D39/E38)*12+24,IF(F39&gt;0,(-E39/F38)*12+36,(-F39/G38)*12+48))))</f>
        <v>#DIV/0!</v>
      </c>
      <c r="M3" s="3" t="s">
        <v>10</v>
      </c>
      <c r="N3" s="3" t="s">
        <v>7</v>
      </c>
      <c r="Q3" s="9"/>
    </row>
    <row r="4" spans="1:17">
      <c r="A4" s="3" t="s">
        <v>40</v>
      </c>
      <c r="B4" s="8">
        <v>0.72499999999999998</v>
      </c>
      <c r="C4" s="1" t="s">
        <v>7</v>
      </c>
      <c r="D4" s="2" t="s">
        <v>12</v>
      </c>
      <c r="F4" s="18">
        <v>0.06</v>
      </c>
      <c r="G4" s="1" t="s">
        <v>7</v>
      </c>
      <c r="N4" s="3" t="s">
        <v>7</v>
      </c>
    </row>
    <row r="5" spans="1:17">
      <c r="C5" s="1" t="s">
        <v>7</v>
      </c>
      <c r="D5" s="2" t="s">
        <v>15</v>
      </c>
      <c r="F5" s="18">
        <v>6.4000000000000001E-2</v>
      </c>
      <c r="G5" s="1" t="s">
        <v>7</v>
      </c>
      <c r="H5" s="3" t="s">
        <v>13</v>
      </c>
      <c r="L5" s="8" t="e">
        <f>IRR(B38:AA38,0.4)</f>
        <v>#NUM!</v>
      </c>
      <c r="N5" s="3" t="s">
        <v>7</v>
      </c>
    </row>
    <row r="6" spans="1:17">
      <c r="A6" s="2" t="s">
        <v>14</v>
      </c>
      <c r="B6" s="7">
        <v>500</v>
      </c>
      <c r="C6" s="1" t="s">
        <v>7</v>
      </c>
      <c r="D6" s="2" t="s">
        <v>11</v>
      </c>
      <c r="F6" s="18">
        <v>0</v>
      </c>
      <c r="G6" s="1" t="s">
        <v>7</v>
      </c>
      <c r="H6" s="3"/>
      <c r="L6" s="8"/>
      <c r="N6" s="3" t="s">
        <v>7</v>
      </c>
    </row>
    <row r="7" spans="1:17">
      <c r="A7" s="2" t="s">
        <v>16</v>
      </c>
      <c r="B7" s="7">
        <v>12000</v>
      </c>
      <c r="C7" s="1" t="s">
        <v>7</v>
      </c>
      <c r="G7" s="1" t="s">
        <v>7</v>
      </c>
      <c r="N7" s="3" t="s">
        <v>7</v>
      </c>
    </row>
    <row r="8" spans="1:17">
      <c r="A8" s="2" t="s">
        <v>17</v>
      </c>
      <c r="B8" s="8">
        <f>F10</f>
        <v>2.5000000000000001E-2</v>
      </c>
      <c r="C8" s="1" t="s">
        <v>7</v>
      </c>
      <c r="D8" s="2" t="s">
        <v>48</v>
      </c>
      <c r="F8" s="14">
        <v>40</v>
      </c>
      <c r="G8" s="1" t="s">
        <v>7</v>
      </c>
      <c r="H8" s="3" t="s">
        <v>42</v>
      </c>
      <c r="L8" s="7">
        <f>NPV(0.25,C38:AA38)+B38</f>
        <v>-406250</v>
      </c>
      <c r="N8" s="3" t="s">
        <v>7</v>
      </c>
    </row>
    <row r="9" spans="1:17">
      <c r="C9" s="1" t="s">
        <v>7</v>
      </c>
      <c r="G9" s="1" t="s">
        <v>7</v>
      </c>
      <c r="L9" s="7"/>
      <c r="N9" s="3" t="s">
        <v>7</v>
      </c>
    </row>
    <row r="10" spans="1:17">
      <c r="A10" s="23" t="s">
        <v>44</v>
      </c>
      <c r="C10" s="1" t="s">
        <v>7</v>
      </c>
      <c r="D10" s="3" t="s">
        <v>43</v>
      </c>
      <c r="F10" s="18">
        <v>2.5000000000000001E-2</v>
      </c>
      <c r="G10" s="1" t="s">
        <v>7</v>
      </c>
      <c r="H10" s="3" t="s">
        <v>18</v>
      </c>
      <c r="L10" s="7">
        <f>SUM(B38:AA38)</f>
        <v>-406250</v>
      </c>
      <c r="N10" s="3" t="s">
        <v>7</v>
      </c>
    </row>
    <row r="11" spans="1:17">
      <c r="A11" s="3" t="s">
        <v>41</v>
      </c>
      <c r="B11" s="10">
        <v>0</v>
      </c>
      <c r="C11" s="1" t="s">
        <v>7</v>
      </c>
      <c r="F11" s="21"/>
      <c r="G11" s="1" t="s">
        <v>7</v>
      </c>
      <c r="N11" s="3" t="s">
        <v>7</v>
      </c>
    </row>
    <row r="12" spans="1:17">
      <c r="A12" s="3" t="s">
        <v>36</v>
      </c>
      <c r="B12" s="4">
        <v>30</v>
      </c>
      <c r="C12" s="1" t="s">
        <v>7</v>
      </c>
      <c r="D12" s="2" t="s">
        <v>19</v>
      </c>
      <c r="F12" s="18">
        <v>0.17</v>
      </c>
      <c r="G12" s="1" t="s">
        <v>7</v>
      </c>
      <c r="N12" s="3" t="s">
        <v>7</v>
      </c>
    </row>
    <row r="13" spans="1:17">
      <c r="A13" s="3" t="s">
        <v>38</v>
      </c>
      <c r="B13" s="8">
        <v>0.12</v>
      </c>
      <c r="C13" s="1" t="s">
        <v>7</v>
      </c>
      <c r="G13" s="1" t="s">
        <v>7</v>
      </c>
      <c r="N13" s="3" t="s">
        <v>7</v>
      </c>
    </row>
    <row r="14" spans="1:17">
      <c r="A14" s="2"/>
      <c r="C14" s="1" t="s">
        <v>7</v>
      </c>
      <c r="G14" s="1" t="s">
        <v>7</v>
      </c>
      <c r="N14" s="3" t="s">
        <v>7</v>
      </c>
    </row>
    <row r="15" spans="1:17">
      <c r="A15" s="2"/>
      <c r="B15" s="8"/>
      <c r="C15" s="1" t="s">
        <v>7</v>
      </c>
      <c r="D15" s="23" t="s">
        <v>45</v>
      </c>
      <c r="G15" s="1" t="s">
        <v>7</v>
      </c>
      <c r="M15" s="9"/>
      <c r="N15" s="3" t="s">
        <v>7</v>
      </c>
      <c r="P15" s="9"/>
    </row>
    <row r="16" spans="1:17">
      <c r="A16" s="2"/>
      <c r="B16" s="8"/>
      <c r="C16" s="1" t="s">
        <v>7</v>
      </c>
      <c r="D16" s="3" t="s">
        <v>50</v>
      </c>
      <c r="F16" s="12">
        <v>104.25</v>
      </c>
      <c r="G16" s="1" t="s">
        <v>7</v>
      </c>
      <c r="M16" s="9"/>
      <c r="N16" s="3" t="s">
        <v>7</v>
      </c>
    </row>
    <row r="17" spans="1:27">
      <c r="A17" s="2"/>
      <c r="B17" s="8"/>
      <c r="C17" s="1" t="s">
        <v>7</v>
      </c>
      <c r="D17" t="s">
        <v>49</v>
      </c>
      <c r="F17" s="12">
        <f>F16-0.015*10*(43-F8)</f>
        <v>103.8</v>
      </c>
      <c r="G17" s="1" t="s">
        <v>7</v>
      </c>
      <c r="N17" s="3" t="s">
        <v>7</v>
      </c>
    </row>
    <row r="18" spans="1:27">
      <c r="A18" s="2"/>
      <c r="B18" s="8"/>
      <c r="C18" s="1" t="s">
        <v>7</v>
      </c>
      <c r="D18" s="22" t="s">
        <v>46</v>
      </c>
      <c r="F18" s="8"/>
      <c r="G18" s="1" t="s">
        <v>7</v>
      </c>
      <c r="N18" s="3" t="s">
        <v>7</v>
      </c>
    </row>
    <row r="19" spans="1:27">
      <c r="B19" s="13"/>
      <c r="C19" s="1" t="s">
        <v>7</v>
      </c>
      <c r="D19" s="3" t="s">
        <v>47</v>
      </c>
      <c r="F19" s="10">
        <v>5</v>
      </c>
      <c r="G19" s="1" t="s">
        <v>7</v>
      </c>
      <c r="N19" s="3" t="s">
        <v>7</v>
      </c>
    </row>
    <row r="20" spans="1:27">
      <c r="A20" s="6" t="s">
        <v>4</v>
      </c>
      <c r="B20" s="6" t="s">
        <v>4</v>
      </c>
      <c r="C20" s="6" t="s">
        <v>4</v>
      </c>
      <c r="D20" s="6" t="s">
        <v>4</v>
      </c>
      <c r="E20" s="6" t="s">
        <v>4</v>
      </c>
      <c r="F20" s="6" t="s">
        <v>4</v>
      </c>
      <c r="G20" s="6" t="s">
        <v>4</v>
      </c>
      <c r="H20" s="6" t="s">
        <v>4</v>
      </c>
      <c r="I20" s="6" t="s">
        <v>4</v>
      </c>
      <c r="J20" s="6" t="s">
        <v>4</v>
      </c>
      <c r="K20" s="6" t="s">
        <v>4</v>
      </c>
      <c r="L20" s="6" t="s">
        <v>4</v>
      </c>
      <c r="M20" s="6" t="s">
        <v>4</v>
      </c>
    </row>
    <row r="21" spans="1:27">
      <c r="A21" s="3" t="s">
        <v>20</v>
      </c>
      <c r="B21" s="10">
        <v>0</v>
      </c>
      <c r="C21" s="10">
        <v>1</v>
      </c>
      <c r="D21" s="10">
        <v>2</v>
      </c>
      <c r="E21" s="10">
        <v>3</v>
      </c>
      <c r="F21" s="10">
        <v>4</v>
      </c>
      <c r="G21" s="10">
        <v>5</v>
      </c>
      <c r="H21" s="10">
        <v>6</v>
      </c>
      <c r="I21" s="10">
        <v>7</v>
      </c>
      <c r="J21" s="10">
        <v>8</v>
      </c>
      <c r="K21" s="10">
        <v>9</v>
      </c>
      <c r="L21" s="10">
        <v>10</v>
      </c>
      <c r="M21" s="10">
        <v>11</v>
      </c>
      <c r="N21" s="10">
        <v>12</v>
      </c>
      <c r="O21" s="10">
        <v>13</v>
      </c>
      <c r="P21" s="10">
        <v>14</v>
      </c>
      <c r="Q21" s="10">
        <v>15</v>
      </c>
      <c r="R21" s="10">
        <v>16</v>
      </c>
      <c r="S21" s="10">
        <v>17</v>
      </c>
      <c r="T21" s="10">
        <v>18</v>
      </c>
      <c r="U21" s="10">
        <v>19</v>
      </c>
      <c r="V21" s="10">
        <v>20</v>
      </c>
      <c r="W21" s="10">
        <v>21</v>
      </c>
      <c r="X21" s="10">
        <v>22</v>
      </c>
      <c r="Y21" s="10">
        <v>23</v>
      </c>
      <c r="Z21" s="10">
        <v>24</v>
      </c>
      <c r="AA21" s="10">
        <v>25</v>
      </c>
    </row>
    <row r="22" spans="1:27">
      <c r="A22" s="3" t="s">
        <v>21</v>
      </c>
      <c r="B22" s="7">
        <f>-B3</f>
        <v>-625000</v>
      </c>
    </row>
    <row r="23" spans="1:27">
      <c r="A23" s="3" t="s">
        <v>37</v>
      </c>
      <c r="B23" s="9"/>
      <c r="C23" s="27">
        <f>F17</f>
        <v>103.8</v>
      </c>
      <c r="D23" s="9">
        <f t="shared" ref="D23:AA23" si="0">IF($F$19&lt;=D21,C23*(1+$F$10),C23)</f>
        <v>103.8</v>
      </c>
      <c r="E23" s="9">
        <f t="shared" si="0"/>
        <v>103.8</v>
      </c>
      <c r="F23" s="9">
        <f t="shared" si="0"/>
        <v>103.8</v>
      </c>
      <c r="G23" s="9">
        <f t="shared" si="0"/>
        <v>106.39499999999998</v>
      </c>
      <c r="H23" s="9">
        <f t="shared" si="0"/>
        <v>109.05487499999997</v>
      </c>
      <c r="I23" s="9">
        <f t="shared" si="0"/>
        <v>111.78124687499995</v>
      </c>
      <c r="J23" s="9">
        <f t="shared" si="0"/>
        <v>114.57577804687494</v>
      </c>
      <c r="K23" s="9">
        <f t="shared" si="0"/>
        <v>117.44017249804681</v>
      </c>
      <c r="L23" s="9">
        <f t="shared" si="0"/>
        <v>120.37617681049797</v>
      </c>
      <c r="M23" s="9">
        <f t="shared" si="0"/>
        <v>123.38558123076041</v>
      </c>
      <c r="N23" s="9">
        <f t="shared" si="0"/>
        <v>126.4702207615294</v>
      </c>
      <c r="O23" s="9">
        <f t="shared" si="0"/>
        <v>129.63197628056764</v>
      </c>
      <c r="P23" s="9">
        <f t="shared" si="0"/>
        <v>132.87277568758182</v>
      </c>
      <c r="Q23" s="9">
        <f t="shared" si="0"/>
        <v>136.19459507977135</v>
      </c>
      <c r="R23" s="9">
        <f t="shared" si="0"/>
        <v>139.59945995676563</v>
      </c>
      <c r="S23" s="9">
        <f t="shared" si="0"/>
        <v>143.08944645568477</v>
      </c>
      <c r="T23" s="9">
        <f t="shared" si="0"/>
        <v>146.66668261707687</v>
      </c>
      <c r="U23" s="9">
        <f t="shared" si="0"/>
        <v>150.33334968250378</v>
      </c>
      <c r="V23" s="9">
        <f t="shared" si="0"/>
        <v>154.09168342456636</v>
      </c>
      <c r="W23" s="9">
        <f t="shared" si="0"/>
        <v>157.94397551018051</v>
      </c>
      <c r="X23" s="9">
        <f t="shared" si="0"/>
        <v>161.89257489793502</v>
      </c>
      <c r="Y23" s="9">
        <f t="shared" si="0"/>
        <v>165.93988927038339</v>
      </c>
      <c r="Z23" s="9">
        <f t="shared" si="0"/>
        <v>170.08838650214295</v>
      </c>
      <c r="AA23" s="9">
        <f t="shared" si="0"/>
        <v>174.34059616469651</v>
      </c>
    </row>
    <row r="24" spans="1:27">
      <c r="A24" s="3" t="s">
        <v>39</v>
      </c>
      <c r="B24" s="9"/>
      <c r="C24" s="4">
        <f>B11*B12*365</f>
        <v>0</v>
      </c>
      <c r="D24" s="4">
        <f>C24*(1-B13)</f>
        <v>0</v>
      </c>
      <c r="E24" s="4">
        <f>D24*(1-B13)</f>
        <v>0</v>
      </c>
      <c r="F24" s="4">
        <f>E24*(1-$B13)</f>
        <v>0</v>
      </c>
      <c r="G24" s="4">
        <f>F24*(1-$B13)</f>
        <v>0</v>
      </c>
      <c r="H24" s="4">
        <f t="shared" ref="H24:AA24" si="1">G24*(1-$B13)</f>
        <v>0</v>
      </c>
      <c r="I24" s="4">
        <f t="shared" si="1"/>
        <v>0</v>
      </c>
      <c r="J24" s="4">
        <f t="shared" si="1"/>
        <v>0</v>
      </c>
      <c r="K24" s="4">
        <f t="shared" si="1"/>
        <v>0</v>
      </c>
      <c r="L24" s="4">
        <f t="shared" si="1"/>
        <v>0</v>
      </c>
      <c r="M24" s="4">
        <f t="shared" si="1"/>
        <v>0</v>
      </c>
      <c r="N24" s="4">
        <f t="shared" si="1"/>
        <v>0</v>
      </c>
      <c r="O24" s="4">
        <f t="shared" si="1"/>
        <v>0</v>
      </c>
      <c r="P24" s="4">
        <f t="shared" si="1"/>
        <v>0</v>
      </c>
      <c r="Q24" s="4">
        <f t="shared" si="1"/>
        <v>0</v>
      </c>
      <c r="R24" s="4">
        <f t="shared" si="1"/>
        <v>0</v>
      </c>
      <c r="S24" s="4">
        <f t="shared" si="1"/>
        <v>0</v>
      </c>
      <c r="T24" s="4">
        <f t="shared" si="1"/>
        <v>0</v>
      </c>
      <c r="U24" s="4">
        <f t="shared" si="1"/>
        <v>0</v>
      </c>
      <c r="V24" s="4">
        <f t="shared" si="1"/>
        <v>0</v>
      </c>
      <c r="W24" s="4">
        <f t="shared" si="1"/>
        <v>0</v>
      </c>
      <c r="X24" s="4">
        <f t="shared" si="1"/>
        <v>0</v>
      </c>
      <c r="Y24" s="4">
        <f t="shared" si="1"/>
        <v>0</v>
      </c>
      <c r="Z24" s="4">
        <f t="shared" si="1"/>
        <v>0</v>
      </c>
      <c r="AA24" s="4">
        <f t="shared" si="1"/>
        <v>0</v>
      </c>
    </row>
    <row r="25" spans="1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P25" s="9"/>
      <c r="Q25" s="9"/>
      <c r="R25" s="9"/>
      <c r="T25" s="9"/>
      <c r="U25" s="9"/>
      <c r="V25" s="9"/>
      <c r="W25" s="9"/>
      <c r="X25" s="9"/>
      <c r="Y25" s="9"/>
      <c r="Z25" s="9"/>
      <c r="AA25" s="9"/>
    </row>
    <row r="26" spans="1:27">
      <c r="A26" s="3" t="s">
        <v>22</v>
      </c>
      <c r="B26" s="9"/>
      <c r="C26" s="7">
        <f t="shared" ref="C26:AA26" si="2">C23*C24</f>
        <v>0</v>
      </c>
      <c r="D26" s="7">
        <f t="shared" si="2"/>
        <v>0</v>
      </c>
      <c r="E26" s="7">
        <f t="shared" si="2"/>
        <v>0</v>
      </c>
      <c r="F26" s="7">
        <f t="shared" si="2"/>
        <v>0</v>
      </c>
      <c r="G26" s="7">
        <f t="shared" si="2"/>
        <v>0</v>
      </c>
      <c r="H26" s="7">
        <f t="shared" si="2"/>
        <v>0</v>
      </c>
      <c r="I26" s="7">
        <f t="shared" si="2"/>
        <v>0</v>
      </c>
      <c r="J26" s="7">
        <f t="shared" si="2"/>
        <v>0</v>
      </c>
      <c r="K26" s="7">
        <f t="shared" si="2"/>
        <v>0</v>
      </c>
      <c r="L26" s="7">
        <f t="shared" si="2"/>
        <v>0</v>
      </c>
      <c r="M26" s="7">
        <f t="shared" si="2"/>
        <v>0</v>
      </c>
      <c r="N26" s="7">
        <f t="shared" si="2"/>
        <v>0</v>
      </c>
      <c r="O26" s="7">
        <f t="shared" si="2"/>
        <v>0</v>
      </c>
      <c r="P26" s="7">
        <f t="shared" si="2"/>
        <v>0</v>
      </c>
      <c r="Q26" s="7">
        <f t="shared" si="2"/>
        <v>0</v>
      </c>
      <c r="R26" s="7">
        <f t="shared" si="2"/>
        <v>0</v>
      </c>
      <c r="S26" s="7">
        <f t="shared" si="2"/>
        <v>0</v>
      </c>
      <c r="T26" s="7">
        <f t="shared" si="2"/>
        <v>0</v>
      </c>
      <c r="U26" s="7">
        <f t="shared" si="2"/>
        <v>0</v>
      </c>
      <c r="V26" s="7">
        <f t="shared" si="2"/>
        <v>0</v>
      </c>
      <c r="W26" s="7">
        <f t="shared" si="2"/>
        <v>0</v>
      </c>
      <c r="X26" s="7">
        <f t="shared" si="2"/>
        <v>0</v>
      </c>
      <c r="Y26" s="7">
        <f t="shared" si="2"/>
        <v>0</v>
      </c>
      <c r="Z26" s="7">
        <f t="shared" si="2"/>
        <v>0</v>
      </c>
      <c r="AA26" s="7">
        <f t="shared" si="2"/>
        <v>0</v>
      </c>
    </row>
    <row r="27" spans="1:27">
      <c r="A27" s="3" t="s">
        <v>23</v>
      </c>
      <c r="B27" s="9"/>
      <c r="C27" s="4">
        <f t="shared" ref="C27:AA27" si="3">$F12*C26</f>
        <v>0</v>
      </c>
      <c r="D27" s="4">
        <f t="shared" si="3"/>
        <v>0</v>
      </c>
      <c r="E27" s="4">
        <f t="shared" si="3"/>
        <v>0</v>
      </c>
      <c r="F27" s="4">
        <f t="shared" si="3"/>
        <v>0</v>
      </c>
      <c r="G27" s="4">
        <f t="shared" si="3"/>
        <v>0</v>
      </c>
      <c r="H27" s="4">
        <f t="shared" si="3"/>
        <v>0</v>
      </c>
      <c r="I27" s="4">
        <f t="shared" si="3"/>
        <v>0</v>
      </c>
      <c r="J27" s="4">
        <f t="shared" si="3"/>
        <v>0</v>
      </c>
      <c r="K27" s="4">
        <f t="shared" si="3"/>
        <v>0</v>
      </c>
      <c r="L27" s="4">
        <f t="shared" si="3"/>
        <v>0</v>
      </c>
      <c r="M27" s="4">
        <f t="shared" si="3"/>
        <v>0</v>
      </c>
      <c r="N27" s="4">
        <f t="shared" si="3"/>
        <v>0</v>
      </c>
      <c r="O27" s="4">
        <f t="shared" si="3"/>
        <v>0</v>
      </c>
      <c r="P27" s="4">
        <f t="shared" si="3"/>
        <v>0</v>
      </c>
      <c r="Q27" s="4">
        <f t="shared" si="3"/>
        <v>0</v>
      </c>
      <c r="R27" s="4">
        <f t="shared" si="3"/>
        <v>0</v>
      </c>
      <c r="S27" s="4">
        <f t="shared" si="3"/>
        <v>0</v>
      </c>
      <c r="T27" s="4">
        <f t="shared" si="3"/>
        <v>0</v>
      </c>
      <c r="U27" s="4">
        <f t="shared" si="3"/>
        <v>0</v>
      </c>
      <c r="V27" s="4">
        <f t="shared" si="3"/>
        <v>0</v>
      </c>
      <c r="W27" s="4">
        <f t="shared" si="3"/>
        <v>0</v>
      </c>
      <c r="X27" s="4">
        <f t="shared" si="3"/>
        <v>0</v>
      </c>
      <c r="Y27" s="4">
        <f t="shared" si="3"/>
        <v>0</v>
      </c>
      <c r="Z27" s="4">
        <f t="shared" si="3"/>
        <v>0</v>
      </c>
      <c r="AA27" s="4">
        <f t="shared" si="3"/>
        <v>0</v>
      </c>
    </row>
    <row r="28" spans="1:27">
      <c r="A28" s="3" t="s">
        <v>24</v>
      </c>
      <c r="B28" s="9"/>
      <c r="C28" s="7">
        <f t="shared" ref="C28:AA28" si="4">C26-C27</f>
        <v>0</v>
      </c>
      <c r="D28" s="7">
        <f t="shared" si="4"/>
        <v>0</v>
      </c>
      <c r="E28" s="7">
        <f t="shared" si="4"/>
        <v>0</v>
      </c>
      <c r="F28" s="7">
        <f t="shared" si="4"/>
        <v>0</v>
      </c>
      <c r="G28" s="7">
        <f t="shared" si="4"/>
        <v>0</v>
      </c>
      <c r="H28" s="7">
        <f t="shared" si="4"/>
        <v>0</v>
      </c>
      <c r="I28" s="7">
        <f t="shared" si="4"/>
        <v>0</v>
      </c>
      <c r="J28" s="7">
        <f t="shared" si="4"/>
        <v>0</v>
      </c>
      <c r="K28" s="7">
        <f t="shared" si="4"/>
        <v>0</v>
      </c>
      <c r="L28" s="7">
        <f t="shared" si="4"/>
        <v>0</v>
      </c>
      <c r="M28" s="7">
        <f t="shared" si="4"/>
        <v>0</v>
      </c>
      <c r="N28" s="7">
        <f t="shared" si="4"/>
        <v>0</v>
      </c>
      <c r="O28" s="7">
        <f t="shared" si="4"/>
        <v>0</v>
      </c>
      <c r="P28" s="7">
        <f t="shared" si="4"/>
        <v>0</v>
      </c>
      <c r="Q28" s="7">
        <f t="shared" si="4"/>
        <v>0</v>
      </c>
      <c r="R28" s="7">
        <f t="shared" si="4"/>
        <v>0</v>
      </c>
      <c r="S28" s="7">
        <f t="shared" si="4"/>
        <v>0</v>
      </c>
      <c r="T28" s="7">
        <f t="shared" si="4"/>
        <v>0</v>
      </c>
      <c r="U28" s="7">
        <f t="shared" si="4"/>
        <v>0</v>
      </c>
      <c r="V28" s="7">
        <f t="shared" si="4"/>
        <v>0</v>
      </c>
      <c r="W28" s="7">
        <f t="shared" si="4"/>
        <v>0</v>
      </c>
      <c r="X28" s="7">
        <f t="shared" si="4"/>
        <v>0</v>
      </c>
      <c r="Y28" s="7">
        <f t="shared" si="4"/>
        <v>0</v>
      </c>
      <c r="Z28" s="7">
        <f t="shared" si="4"/>
        <v>0</v>
      </c>
      <c r="AA28" s="7">
        <f t="shared" si="4"/>
        <v>0</v>
      </c>
    </row>
    <row r="29" spans="1:27">
      <c r="A29" s="3" t="s">
        <v>25</v>
      </c>
      <c r="B29" s="9"/>
      <c r="C29" s="4">
        <f>IF(C24=0,0,+$B6*12+$B7)</f>
        <v>0</v>
      </c>
      <c r="D29" s="4">
        <f>C29*(1+$B8)</f>
        <v>0</v>
      </c>
      <c r="E29" s="4">
        <f t="shared" ref="E29:Q29" si="5">D29*(1+$B8)</f>
        <v>0</v>
      </c>
      <c r="F29" s="4">
        <f t="shared" si="5"/>
        <v>0</v>
      </c>
      <c r="G29" s="4">
        <f t="shared" si="5"/>
        <v>0</v>
      </c>
      <c r="H29" s="4">
        <f t="shared" si="5"/>
        <v>0</v>
      </c>
      <c r="I29" s="4">
        <f t="shared" si="5"/>
        <v>0</v>
      </c>
      <c r="J29" s="4">
        <f t="shared" si="5"/>
        <v>0</v>
      </c>
      <c r="K29" s="4">
        <f t="shared" si="5"/>
        <v>0</v>
      </c>
      <c r="L29" s="4">
        <f t="shared" si="5"/>
        <v>0</v>
      </c>
      <c r="M29" s="4">
        <f t="shared" si="5"/>
        <v>0</v>
      </c>
      <c r="N29" s="4">
        <f t="shared" si="5"/>
        <v>0</v>
      </c>
      <c r="O29" s="4">
        <f t="shared" si="5"/>
        <v>0</v>
      </c>
      <c r="P29" s="4">
        <f t="shared" si="5"/>
        <v>0</v>
      </c>
      <c r="Q29" s="4">
        <f t="shared" si="5"/>
        <v>0</v>
      </c>
      <c r="R29" s="4">
        <f>Q29</f>
        <v>0</v>
      </c>
      <c r="S29" s="4">
        <f>R29</f>
        <v>0</v>
      </c>
      <c r="T29" s="4">
        <f>S29</f>
        <v>0</v>
      </c>
      <c r="U29" s="4">
        <f>T29</f>
        <v>0</v>
      </c>
      <c r="V29" s="4">
        <f>U29/2</f>
        <v>0</v>
      </c>
      <c r="W29" s="4">
        <f>V29</f>
        <v>0</v>
      </c>
      <c r="X29" s="4">
        <f>W29</f>
        <v>0</v>
      </c>
      <c r="Y29" s="4">
        <f>X29</f>
        <v>0</v>
      </c>
      <c r="Z29" s="4">
        <f>Y29</f>
        <v>0</v>
      </c>
      <c r="AA29" s="4">
        <f>Z29</f>
        <v>0</v>
      </c>
    </row>
    <row r="30" spans="1:27">
      <c r="A30" s="3" t="s">
        <v>26</v>
      </c>
      <c r="B30" s="9"/>
      <c r="C30" s="4">
        <f t="shared" ref="C30:AA30" si="6">($F4+$F5)*C28</f>
        <v>0</v>
      </c>
      <c r="D30" s="4">
        <f t="shared" si="6"/>
        <v>0</v>
      </c>
      <c r="E30" s="4">
        <f t="shared" si="6"/>
        <v>0</v>
      </c>
      <c r="F30" s="4">
        <f t="shared" si="6"/>
        <v>0</v>
      </c>
      <c r="G30" s="4">
        <f t="shared" si="6"/>
        <v>0</v>
      </c>
      <c r="H30" s="4">
        <f t="shared" si="6"/>
        <v>0</v>
      </c>
      <c r="I30" s="4">
        <f t="shared" si="6"/>
        <v>0</v>
      </c>
      <c r="J30" s="4">
        <f t="shared" si="6"/>
        <v>0</v>
      </c>
      <c r="K30" s="4">
        <f t="shared" si="6"/>
        <v>0</v>
      </c>
      <c r="L30" s="4">
        <f t="shared" si="6"/>
        <v>0</v>
      </c>
      <c r="M30" s="4">
        <f t="shared" si="6"/>
        <v>0</v>
      </c>
      <c r="N30" s="4">
        <f t="shared" si="6"/>
        <v>0</v>
      </c>
      <c r="O30" s="4">
        <f t="shared" si="6"/>
        <v>0</v>
      </c>
      <c r="P30" s="4">
        <f t="shared" si="6"/>
        <v>0</v>
      </c>
      <c r="Q30" s="4">
        <f t="shared" si="6"/>
        <v>0</v>
      </c>
      <c r="R30" s="4">
        <f t="shared" si="6"/>
        <v>0</v>
      </c>
      <c r="S30" s="4">
        <f t="shared" si="6"/>
        <v>0</v>
      </c>
      <c r="T30" s="4">
        <f t="shared" si="6"/>
        <v>0</v>
      </c>
      <c r="U30" s="4">
        <f t="shared" si="6"/>
        <v>0</v>
      </c>
      <c r="V30" s="4">
        <f t="shared" si="6"/>
        <v>0</v>
      </c>
      <c r="W30" s="4">
        <f t="shared" si="6"/>
        <v>0</v>
      </c>
      <c r="X30" s="4">
        <f t="shared" si="6"/>
        <v>0</v>
      </c>
      <c r="Y30" s="4">
        <f t="shared" si="6"/>
        <v>0</v>
      </c>
      <c r="Z30" s="4">
        <f t="shared" si="6"/>
        <v>0</v>
      </c>
      <c r="AA30" s="4">
        <f t="shared" si="6"/>
        <v>0</v>
      </c>
    </row>
    <row r="31" spans="1:27">
      <c r="A31" s="3" t="s">
        <v>27</v>
      </c>
      <c r="B31" s="4">
        <f>IF(B11=0,-B22,B3*B4)</f>
        <v>625000</v>
      </c>
      <c r="C31" s="4">
        <f t="shared" ref="C31:I31" si="7">IF($B11=0,0,(1-$B$4)*$B$3/7)</f>
        <v>0</v>
      </c>
      <c r="D31" s="4">
        <f t="shared" si="7"/>
        <v>0</v>
      </c>
      <c r="E31" s="4">
        <f t="shared" si="7"/>
        <v>0</v>
      </c>
      <c r="F31" s="4">
        <f t="shared" si="7"/>
        <v>0</v>
      </c>
      <c r="G31" s="4">
        <f t="shared" si="7"/>
        <v>0</v>
      </c>
      <c r="H31" s="4">
        <f t="shared" si="7"/>
        <v>0</v>
      </c>
      <c r="I31" s="4">
        <f t="shared" si="7"/>
        <v>0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>
      <c r="A32" s="3" t="s">
        <v>28</v>
      </c>
      <c r="B32" s="7">
        <f t="shared" ref="B32:K32" si="8">B28-SUM(B29:B31)</f>
        <v>-625000</v>
      </c>
      <c r="C32" s="7">
        <f t="shared" si="8"/>
        <v>0</v>
      </c>
      <c r="D32" s="7">
        <f t="shared" si="8"/>
        <v>0</v>
      </c>
      <c r="E32" s="7">
        <f t="shared" si="8"/>
        <v>0</v>
      </c>
      <c r="F32" s="7">
        <f t="shared" si="8"/>
        <v>0</v>
      </c>
      <c r="G32" s="7">
        <f t="shared" si="8"/>
        <v>0</v>
      </c>
      <c r="H32" s="7">
        <f t="shared" si="8"/>
        <v>0</v>
      </c>
      <c r="I32" s="7">
        <f t="shared" si="8"/>
        <v>0</v>
      </c>
      <c r="J32" s="7">
        <f t="shared" si="8"/>
        <v>0</v>
      </c>
      <c r="K32" s="7">
        <f t="shared" si="8"/>
        <v>0</v>
      </c>
      <c r="L32" s="7">
        <f t="shared" ref="L32:U32" si="9">L28-SUM(L29:L31)</f>
        <v>0</v>
      </c>
      <c r="M32" s="7">
        <f t="shared" si="9"/>
        <v>0</v>
      </c>
      <c r="N32" s="7">
        <f t="shared" si="9"/>
        <v>0</v>
      </c>
      <c r="O32" s="7">
        <f t="shared" si="9"/>
        <v>0</v>
      </c>
      <c r="P32" s="7">
        <f t="shared" si="9"/>
        <v>0</v>
      </c>
      <c r="Q32" s="7">
        <f t="shared" si="9"/>
        <v>0</v>
      </c>
      <c r="R32" s="7">
        <f t="shared" si="9"/>
        <v>0</v>
      </c>
      <c r="S32" s="7">
        <f t="shared" si="9"/>
        <v>0</v>
      </c>
      <c r="T32" s="7">
        <f t="shared" si="9"/>
        <v>0</v>
      </c>
      <c r="U32" s="7">
        <f t="shared" si="9"/>
        <v>0</v>
      </c>
      <c r="V32" s="7">
        <f t="shared" ref="V32:AA32" si="10">V28-SUM(V29:V31)</f>
        <v>0</v>
      </c>
      <c r="W32" s="7">
        <f t="shared" si="10"/>
        <v>0</v>
      </c>
      <c r="X32" s="7">
        <f t="shared" si="10"/>
        <v>0</v>
      </c>
      <c r="Y32" s="7">
        <f t="shared" si="10"/>
        <v>0</v>
      </c>
      <c r="Z32" s="7">
        <f t="shared" si="10"/>
        <v>0</v>
      </c>
      <c r="AA32" s="7">
        <f t="shared" si="10"/>
        <v>0</v>
      </c>
    </row>
    <row r="33" spans="1:27">
      <c r="A33" s="3" t="s">
        <v>29</v>
      </c>
      <c r="B33" s="9"/>
      <c r="C33" s="4">
        <f t="shared" ref="C33:AA33" si="11">IF(0.5*C32&lt;0.15*C28,0.5*C32,0.15*C28)</f>
        <v>0</v>
      </c>
      <c r="D33" s="4">
        <f t="shared" si="11"/>
        <v>0</v>
      </c>
      <c r="E33" s="4">
        <f t="shared" si="11"/>
        <v>0</v>
      </c>
      <c r="F33" s="4">
        <f t="shared" si="11"/>
        <v>0</v>
      </c>
      <c r="G33" s="4">
        <f t="shared" si="11"/>
        <v>0</v>
      </c>
      <c r="H33" s="4">
        <f t="shared" si="11"/>
        <v>0</v>
      </c>
      <c r="I33" s="4">
        <f t="shared" si="11"/>
        <v>0</v>
      </c>
      <c r="J33" s="4">
        <f t="shared" si="11"/>
        <v>0</v>
      </c>
      <c r="K33" s="4">
        <f t="shared" si="11"/>
        <v>0</v>
      </c>
      <c r="L33" s="4">
        <f t="shared" si="11"/>
        <v>0</v>
      </c>
      <c r="M33" s="4">
        <f t="shared" si="11"/>
        <v>0</v>
      </c>
      <c r="N33" s="4">
        <f t="shared" si="11"/>
        <v>0</v>
      </c>
      <c r="O33" s="4">
        <f t="shared" si="11"/>
        <v>0</v>
      </c>
      <c r="P33" s="4">
        <f t="shared" si="11"/>
        <v>0</v>
      </c>
      <c r="Q33" s="4">
        <f t="shared" si="11"/>
        <v>0</v>
      </c>
      <c r="R33" s="4">
        <f t="shared" si="11"/>
        <v>0</v>
      </c>
      <c r="S33" s="4">
        <f t="shared" si="11"/>
        <v>0</v>
      </c>
      <c r="T33" s="4">
        <f t="shared" si="11"/>
        <v>0</v>
      </c>
      <c r="U33" s="4">
        <f t="shared" si="11"/>
        <v>0</v>
      </c>
      <c r="V33" s="4">
        <f t="shared" si="11"/>
        <v>0</v>
      </c>
      <c r="W33" s="4">
        <f t="shared" si="11"/>
        <v>0</v>
      </c>
      <c r="X33" s="4">
        <f t="shared" si="11"/>
        <v>0</v>
      </c>
      <c r="Y33" s="4">
        <f t="shared" si="11"/>
        <v>0</v>
      </c>
      <c r="Z33" s="4">
        <f t="shared" si="11"/>
        <v>0</v>
      </c>
      <c r="AA33" s="4">
        <f t="shared" si="11"/>
        <v>0</v>
      </c>
    </row>
    <row r="34" spans="1:27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>
      <c r="A35" s="3" t="s">
        <v>30</v>
      </c>
      <c r="B35" s="4">
        <f>$F3*(B32-B33)</f>
        <v>-218750</v>
      </c>
      <c r="C35" s="4">
        <f>$F3*(C32-C33)</f>
        <v>0</v>
      </c>
      <c r="D35" s="4">
        <f>$F3*(D32-D33)</f>
        <v>0</v>
      </c>
      <c r="E35" s="4">
        <f t="shared" ref="E35:AA35" si="12">$F3*(E32-E33)</f>
        <v>0</v>
      </c>
      <c r="F35" s="4">
        <f t="shared" si="12"/>
        <v>0</v>
      </c>
      <c r="G35" s="4">
        <f t="shared" si="12"/>
        <v>0</v>
      </c>
      <c r="H35" s="4">
        <f t="shared" si="12"/>
        <v>0</v>
      </c>
      <c r="I35" s="4">
        <f t="shared" si="12"/>
        <v>0</v>
      </c>
      <c r="J35" s="4">
        <f t="shared" si="12"/>
        <v>0</v>
      </c>
      <c r="K35" s="4">
        <f t="shared" si="12"/>
        <v>0</v>
      </c>
      <c r="L35" s="4">
        <f t="shared" si="12"/>
        <v>0</v>
      </c>
      <c r="M35" s="4">
        <f t="shared" si="12"/>
        <v>0</v>
      </c>
      <c r="N35" s="4">
        <f t="shared" si="12"/>
        <v>0</v>
      </c>
      <c r="O35" s="4">
        <f t="shared" si="12"/>
        <v>0</v>
      </c>
      <c r="P35" s="4">
        <f t="shared" si="12"/>
        <v>0</v>
      </c>
      <c r="Q35" s="4">
        <f t="shared" si="12"/>
        <v>0</v>
      </c>
      <c r="R35" s="4">
        <f t="shared" si="12"/>
        <v>0</v>
      </c>
      <c r="S35" s="4">
        <f t="shared" si="12"/>
        <v>0</v>
      </c>
      <c r="T35" s="4">
        <f t="shared" si="12"/>
        <v>0</v>
      </c>
      <c r="U35" s="4">
        <f t="shared" si="12"/>
        <v>0</v>
      </c>
      <c r="V35" s="4">
        <f t="shared" si="12"/>
        <v>0</v>
      </c>
      <c r="W35" s="4">
        <f t="shared" si="12"/>
        <v>0</v>
      </c>
      <c r="X35" s="4">
        <f t="shared" si="12"/>
        <v>0</v>
      </c>
      <c r="Y35" s="4">
        <f t="shared" si="12"/>
        <v>0</v>
      </c>
      <c r="Z35" s="4">
        <f t="shared" si="12"/>
        <v>0</v>
      </c>
      <c r="AA35" s="4">
        <f t="shared" si="12"/>
        <v>0</v>
      </c>
    </row>
    <row r="36" spans="1:27">
      <c r="A36" s="3" t="s">
        <v>31</v>
      </c>
      <c r="B36" s="7">
        <f t="shared" ref="B36:K36" si="13">B32-SUM(B33:B35)</f>
        <v>-406250</v>
      </c>
      <c r="C36" s="7">
        <f t="shared" si="13"/>
        <v>0</v>
      </c>
      <c r="D36" s="7">
        <f t="shared" si="13"/>
        <v>0</v>
      </c>
      <c r="E36" s="7">
        <f t="shared" si="13"/>
        <v>0</v>
      </c>
      <c r="F36" s="7">
        <f t="shared" si="13"/>
        <v>0</v>
      </c>
      <c r="G36" s="7">
        <f t="shared" si="13"/>
        <v>0</v>
      </c>
      <c r="H36" s="7">
        <f t="shared" si="13"/>
        <v>0</v>
      </c>
      <c r="I36" s="7">
        <f t="shared" si="13"/>
        <v>0</v>
      </c>
      <c r="J36" s="7">
        <f t="shared" si="13"/>
        <v>0</v>
      </c>
      <c r="K36" s="7">
        <f t="shared" si="13"/>
        <v>0</v>
      </c>
      <c r="L36" s="7">
        <f t="shared" ref="L36:U36" si="14">L32-SUM(L33:L35)</f>
        <v>0</v>
      </c>
      <c r="M36" s="7">
        <f t="shared" si="14"/>
        <v>0</v>
      </c>
      <c r="N36" s="7">
        <f t="shared" si="14"/>
        <v>0</v>
      </c>
      <c r="O36" s="7">
        <f t="shared" si="14"/>
        <v>0</v>
      </c>
      <c r="P36" s="7">
        <f t="shared" si="14"/>
        <v>0</v>
      </c>
      <c r="Q36" s="7">
        <f t="shared" si="14"/>
        <v>0</v>
      </c>
      <c r="R36" s="7">
        <f t="shared" si="14"/>
        <v>0</v>
      </c>
      <c r="S36" s="7">
        <f t="shared" si="14"/>
        <v>0</v>
      </c>
      <c r="T36" s="7">
        <f t="shared" si="14"/>
        <v>0</v>
      </c>
      <c r="U36" s="7">
        <f t="shared" si="14"/>
        <v>0</v>
      </c>
      <c r="V36" s="7">
        <f t="shared" ref="V36:AA36" si="15">V32-SUM(V33:V35)</f>
        <v>0</v>
      </c>
      <c r="W36" s="7">
        <f t="shared" si="15"/>
        <v>0</v>
      </c>
      <c r="X36" s="7">
        <f t="shared" si="15"/>
        <v>0</v>
      </c>
      <c r="Y36" s="7">
        <f t="shared" si="15"/>
        <v>0</v>
      </c>
      <c r="Z36" s="7">
        <f t="shared" si="15"/>
        <v>0</v>
      </c>
      <c r="AA36" s="7">
        <f t="shared" si="15"/>
        <v>0</v>
      </c>
    </row>
    <row r="37" spans="1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A38" s="3" t="s">
        <v>32</v>
      </c>
      <c r="B38" s="7">
        <f>B36+B31+B33+B22</f>
        <v>-406250</v>
      </c>
      <c r="C38" s="7">
        <f t="shared" ref="C38:AA38" si="16">C36+C31+C33</f>
        <v>0</v>
      </c>
      <c r="D38" s="7">
        <f t="shared" si="16"/>
        <v>0</v>
      </c>
      <c r="E38" s="7">
        <f t="shared" si="16"/>
        <v>0</v>
      </c>
      <c r="F38" s="7">
        <f t="shared" si="16"/>
        <v>0</v>
      </c>
      <c r="G38" s="7">
        <f t="shared" si="16"/>
        <v>0</v>
      </c>
      <c r="H38" s="7">
        <f t="shared" si="16"/>
        <v>0</v>
      </c>
      <c r="I38" s="7">
        <f t="shared" si="16"/>
        <v>0</v>
      </c>
      <c r="J38" s="7">
        <f t="shared" si="16"/>
        <v>0</v>
      </c>
      <c r="K38" s="7">
        <f t="shared" si="16"/>
        <v>0</v>
      </c>
      <c r="L38" s="7">
        <f t="shared" si="16"/>
        <v>0</v>
      </c>
      <c r="M38" s="7">
        <f t="shared" si="16"/>
        <v>0</v>
      </c>
      <c r="N38" s="7">
        <f t="shared" si="16"/>
        <v>0</v>
      </c>
      <c r="O38" s="7">
        <f t="shared" si="16"/>
        <v>0</v>
      </c>
      <c r="P38" s="7">
        <f t="shared" si="16"/>
        <v>0</v>
      </c>
      <c r="Q38" s="7">
        <f t="shared" si="16"/>
        <v>0</v>
      </c>
      <c r="R38" s="7">
        <f t="shared" si="16"/>
        <v>0</v>
      </c>
      <c r="S38" s="7">
        <f t="shared" si="16"/>
        <v>0</v>
      </c>
      <c r="T38" s="7">
        <f t="shared" si="16"/>
        <v>0</v>
      </c>
      <c r="U38" s="7">
        <f t="shared" si="16"/>
        <v>0</v>
      </c>
      <c r="V38" s="7">
        <f t="shared" si="16"/>
        <v>0</v>
      </c>
      <c r="W38" s="7">
        <f t="shared" si="16"/>
        <v>0</v>
      </c>
      <c r="X38" s="7">
        <f t="shared" si="16"/>
        <v>0</v>
      </c>
      <c r="Y38" s="7">
        <f t="shared" si="16"/>
        <v>0</v>
      </c>
      <c r="Z38" s="7">
        <f t="shared" si="16"/>
        <v>0</v>
      </c>
      <c r="AA38" s="7">
        <f t="shared" si="16"/>
        <v>0</v>
      </c>
    </row>
    <row r="39" spans="1:27">
      <c r="A39" s="3" t="s">
        <v>33</v>
      </c>
      <c r="B39" s="7">
        <f>SUM($B38)</f>
        <v>-406250</v>
      </c>
      <c r="C39" s="7">
        <f>SUM($B38:C38)</f>
        <v>-406250</v>
      </c>
      <c r="D39" s="7">
        <f>SUM($B38:D38)</f>
        <v>-406250</v>
      </c>
      <c r="E39" s="7">
        <f>SUM($B38:E38)</f>
        <v>-406250</v>
      </c>
      <c r="F39" s="7">
        <f>SUM($B38:F38)</f>
        <v>-406250</v>
      </c>
      <c r="G39" s="7">
        <f>SUM($B38:G38)</f>
        <v>-406250</v>
      </c>
      <c r="H39" s="7">
        <f>SUM($B38:H38)</f>
        <v>-406250</v>
      </c>
      <c r="I39" s="7">
        <f>SUM($B38:I38)</f>
        <v>-406250</v>
      </c>
      <c r="J39" s="7">
        <f>SUM($B38:J38)</f>
        <v>-406250</v>
      </c>
      <c r="K39" s="7">
        <f>SUM($B38:K38)</f>
        <v>-406250</v>
      </c>
      <c r="L39" s="7">
        <f>SUM($B38:L38)</f>
        <v>-406250</v>
      </c>
      <c r="M39" s="7">
        <f>SUM($B38:M38)</f>
        <v>-406250</v>
      </c>
      <c r="N39" s="7">
        <f>SUM($B38:N38)</f>
        <v>-406250</v>
      </c>
      <c r="O39" s="7">
        <f>SUM($B38:O38)</f>
        <v>-406250</v>
      </c>
      <c r="P39" s="7">
        <f>SUM($B38:P38)</f>
        <v>-406250</v>
      </c>
      <c r="Q39" s="7">
        <f>SUM($B38:Q38)</f>
        <v>-406250</v>
      </c>
      <c r="R39" s="7">
        <f>SUM($B38:R38)</f>
        <v>-406250</v>
      </c>
      <c r="S39" s="7">
        <f>SUM($B38:S38)</f>
        <v>-406250</v>
      </c>
      <c r="T39" s="7">
        <f>SUM($B38:T38)</f>
        <v>-406250</v>
      </c>
      <c r="U39" s="7">
        <f>SUM($B38:U38)</f>
        <v>-406250</v>
      </c>
      <c r="V39" s="7">
        <f>SUM($B38:V38)</f>
        <v>-406250</v>
      </c>
      <c r="W39" s="7">
        <f>SUM($B38:W38)</f>
        <v>-406250</v>
      </c>
      <c r="X39" s="7">
        <f>SUM($B38:X38)</f>
        <v>-406250</v>
      </c>
      <c r="Y39" s="7">
        <f>SUM($B38:Y38)</f>
        <v>-406250</v>
      </c>
      <c r="Z39" s="7">
        <f>SUM($B38:Z38)</f>
        <v>-406250</v>
      </c>
      <c r="AA39" s="7">
        <f>SUM($B38:AA38)</f>
        <v>-406250</v>
      </c>
    </row>
    <row r="40" spans="1:27">
      <c r="A40" s="3" t="s">
        <v>34</v>
      </c>
      <c r="B40" s="7">
        <f>B38</f>
        <v>-406250</v>
      </c>
      <c r="C40" s="7">
        <f>NPV(0.25,C38)+$B38</f>
        <v>-406250</v>
      </c>
      <c r="D40" s="7">
        <f>NPV(0.25,$C38:D38)+$B38</f>
        <v>-406250</v>
      </c>
      <c r="E40" s="7">
        <f>NPV(0.25,$C38:E38)+$B38</f>
        <v>-406250</v>
      </c>
      <c r="F40" s="7">
        <f>NPV(0.25,$C38:F38)+$B38</f>
        <v>-406250</v>
      </c>
      <c r="G40" s="7">
        <f>NPV(0.25,$C38:G38)+$B38</f>
        <v>-406250</v>
      </c>
      <c r="H40" s="7">
        <f>NPV(0.25,$C38:H38)+$B38</f>
        <v>-406250</v>
      </c>
      <c r="I40" s="7">
        <f>NPV(0.25,$C38:I38)+$B38</f>
        <v>-406250</v>
      </c>
      <c r="J40" s="7">
        <f>NPV(0.25,$C38:J38)+$B38</f>
        <v>-406250</v>
      </c>
      <c r="K40" s="7">
        <f>NPV(0.25,$C38:K38)+$B38</f>
        <v>-406250</v>
      </c>
      <c r="L40" s="7">
        <f>NPV(0.25,$C38:L38)+$B38</f>
        <v>-406250</v>
      </c>
      <c r="M40" s="7">
        <f>NPV(0.25,$C38:M38)+$B38</f>
        <v>-406250</v>
      </c>
      <c r="N40" s="7">
        <f>NPV(0.25,$C38:N38)+$B38</f>
        <v>-406250</v>
      </c>
      <c r="O40" s="7">
        <f>NPV(0.25,$C38:O38)+$B38</f>
        <v>-406250</v>
      </c>
      <c r="P40" s="7">
        <f>NPV(0.25,$C38:P38)+$B38</f>
        <v>-406250</v>
      </c>
      <c r="Q40" s="7">
        <f>NPV(0.25,$C38:Q38)+$B38</f>
        <v>-406250</v>
      </c>
      <c r="R40" s="7">
        <f>NPV(0.25,$C38:R38)+$B38</f>
        <v>-406250</v>
      </c>
      <c r="S40" s="7">
        <f>NPV(0.25,$C38:S38)+$B38</f>
        <v>-406250</v>
      </c>
      <c r="T40" s="7">
        <f>NPV(0.25,$C38:T38)+$B38</f>
        <v>-406250</v>
      </c>
      <c r="U40" s="7">
        <f>NPV(0.25,$C38:U38)+$B38</f>
        <v>-406250</v>
      </c>
      <c r="V40" s="7">
        <f>NPV(0.25,$C38:V38)+$B38</f>
        <v>-406250</v>
      </c>
      <c r="W40" s="7">
        <f>NPV(0.25,$C38:W38)+$B38</f>
        <v>-406250</v>
      </c>
      <c r="X40" s="7">
        <f>NPV(0.25,$C38:X38)+$B38</f>
        <v>-406250</v>
      </c>
      <c r="Y40" s="7">
        <f>NPV(0.25,$C38:Y38)+$B38</f>
        <v>-406250</v>
      </c>
      <c r="Z40" s="7">
        <f>NPV(0.25,$C38:Z38)+$B38</f>
        <v>-406250</v>
      </c>
      <c r="AA40" s="7">
        <f>NPV(0.25,$C38:AA38)+$B38</f>
        <v>-406250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topLeftCell="A7" zoomScale="80" zoomScaleNormal="80" zoomScalePageLayoutView="80" workbookViewId="0">
      <selection activeCell="B13" sqref="B13"/>
    </sheetView>
  </sheetViews>
  <sheetFormatPr baseColWidth="10" defaultColWidth="8.83203125" defaultRowHeight="12" x14ac:dyDescent="0"/>
  <cols>
    <col min="1" max="1" width="27.1640625" customWidth="1"/>
    <col min="2" max="2" width="13.83203125" customWidth="1"/>
    <col min="3" max="3" width="13.33203125" customWidth="1"/>
    <col min="4" max="4" width="14.1640625" customWidth="1"/>
    <col min="5" max="5" width="13.83203125" customWidth="1"/>
    <col min="6" max="6" width="13.1640625" customWidth="1"/>
    <col min="7" max="7" width="13.6640625" customWidth="1"/>
    <col min="8" max="8" width="14.6640625" customWidth="1"/>
    <col min="9" max="9" width="14" customWidth="1"/>
    <col min="10" max="10" width="12.83203125" customWidth="1"/>
    <col min="11" max="11" width="14.5" customWidth="1"/>
    <col min="12" max="12" width="13.33203125" customWidth="1"/>
    <col min="13" max="13" width="14" customWidth="1"/>
  </cols>
  <sheetData>
    <row r="1" spans="1:17">
      <c r="A1" s="24" t="s">
        <v>0</v>
      </c>
      <c r="B1" s="26" t="s">
        <v>1</v>
      </c>
      <c r="D1" s="25" t="s">
        <v>2</v>
      </c>
      <c r="H1" s="25" t="s">
        <v>3</v>
      </c>
      <c r="N1" s="4"/>
    </row>
    <row r="2" spans="1:17">
      <c r="A2" s="5" t="s">
        <v>4</v>
      </c>
      <c r="B2" s="5" t="s">
        <v>4</v>
      </c>
      <c r="C2" s="5" t="s">
        <v>4</v>
      </c>
      <c r="D2" s="5" t="s">
        <v>4</v>
      </c>
      <c r="E2" s="5" t="s">
        <v>4</v>
      </c>
      <c r="F2" s="5" t="s">
        <v>4</v>
      </c>
      <c r="G2" s="5" t="s">
        <v>4</v>
      </c>
      <c r="H2" s="5" t="s">
        <v>4</v>
      </c>
      <c r="I2" s="3" t="s">
        <v>5</v>
      </c>
      <c r="K2" s="6" t="s">
        <v>4</v>
      </c>
      <c r="L2" s="6" t="s">
        <v>4</v>
      </c>
      <c r="M2" s="6" t="s">
        <v>4</v>
      </c>
    </row>
    <row r="3" spans="1:17">
      <c r="A3" s="2" t="s">
        <v>6</v>
      </c>
      <c r="B3" s="7">
        <v>665000</v>
      </c>
      <c r="C3" s="1" t="s">
        <v>7</v>
      </c>
      <c r="D3" s="2" t="s">
        <v>8</v>
      </c>
      <c r="F3" s="18">
        <v>0.35</v>
      </c>
      <c r="G3" s="1" t="s">
        <v>7</v>
      </c>
      <c r="H3" s="2" t="s">
        <v>9</v>
      </c>
      <c r="L3" s="9">
        <f>IF(C39&gt;0,(-B39/C38)*12,IF(D39&gt;0,(-C39/D38)*12+12,IF(E39&gt;0,(-D39/E38)*12+24,IF(F39&gt;0,(-E39/F38)*12+36,(-F39/G38)*12+48))))</f>
        <v>29.736670204630585</v>
      </c>
      <c r="M3" s="3" t="s">
        <v>10</v>
      </c>
      <c r="N3" s="3" t="s">
        <v>7</v>
      </c>
      <c r="Q3" s="9"/>
    </row>
    <row r="4" spans="1:17">
      <c r="A4" s="3" t="s">
        <v>40</v>
      </c>
      <c r="B4" s="8">
        <v>0.72499999999999998</v>
      </c>
      <c r="C4" s="1" t="s">
        <v>7</v>
      </c>
      <c r="D4" s="2" t="s">
        <v>12</v>
      </c>
      <c r="F4" s="18">
        <v>0.06</v>
      </c>
      <c r="G4" s="1" t="s">
        <v>7</v>
      </c>
      <c r="N4" s="3" t="s">
        <v>7</v>
      </c>
    </row>
    <row r="5" spans="1:17">
      <c r="C5" s="1" t="s">
        <v>7</v>
      </c>
      <c r="D5" s="2" t="s">
        <v>15</v>
      </c>
      <c r="F5" s="18">
        <v>6.4000000000000001E-2</v>
      </c>
      <c r="G5" s="1" t="s">
        <v>7</v>
      </c>
      <c r="H5" s="3" t="s">
        <v>13</v>
      </c>
      <c r="L5" s="8">
        <f>IRR(B38:AA38,0.4)</f>
        <v>0.28153782146002881</v>
      </c>
      <c r="N5" s="3" t="s">
        <v>7</v>
      </c>
    </row>
    <row r="6" spans="1:17">
      <c r="A6" s="2" t="s">
        <v>14</v>
      </c>
      <c r="B6" s="7">
        <v>500</v>
      </c>
      <c r="C6" s="1" t="s">
        <v>7</v>
      </c>
      <c r="D6" s="2" t="s">
        <v>11</v>
      </c>
      <c r="F6" s="18">
        <v>0</v>
      </c>
      <c r="G6" s="1" t="s">
        <v>7</v>
      </c>
      <c r="H6" s="3"/>
      <c r="L6" s="8"/>
      <c r="N6" s="3" t="s">
        <v>7</v>
      </c>
    </row>
    <row r="7" spans="1:17">
      <c r="A7" s="2" t="s">
        <v>16</v>
      </c>
      <c r="B7" s="7">
        <v>12000</v>
      </c>
      <c r="C7" s="1" t="s">
        <v>7</v>
      </c>
      <c r="G7" s="1" t="s">
        <v>7</v>
      </c>
      <c r="N7" s="3" t="s">
        <v>7</v>
      </c>
    </row>
    <row r="8" spans="1:17">
      <c r="A8" s="2" t="s">
        <v>17</v>
      </c>
      <c r="B8" s="8">
        <f>F10</f>
        <v>2.1000000000000001E-2</v>
      </c>
      <c r="C8" s="1" t="s">
        <v>7</v>
      </c>
      <c r="D8" s="2" t="s">
        <v>48</v>
      </c>
      <c r="F8" s="14">
        <v>35</v>
      </c>
      <c r="G8" s="1" t="s">
        <v>7</v>
      </c>
      <c r="H8" s="3" t="s">
        <v>42</v>
      </c>
      <c r="L8" s="7">
        <f>NPV(0.25,C38:AA38)+B38</f>
        <v>34820.270041218377</v>
      </c>
      <c r="N8" s="3" t="s">
        <v>7</v>
      </c>
    </row>
    <row r="9" spans="1:17">
      <c r="C9" s="1" t="s">
        <v>7</v>
      </c>
      <c r="G9" s="1" t="s">
        <v>7</v>
      </c>
      <c r="L9" s="7"/>
      <c r="N9" s="3" t="s">
        <v>7</v>
      </c>
    </row>
    <row r="10" spans="1:17">
      <c r="A10" s="23" t="s">
        <v>44</v>
      </c>
      <c r="C10" s="1" t="s">
        <v>7</v>
      </c>
      <c r="D10" s="3" t="s">
        <v>43</v>
      </c>
      <c r="F10" s="18">
        <v>2.1000000000000001E-2</v>
      </c>
      <c r="G10" s="1" t="s">
        <v>7</v>
      </c>
      <c r="H10" s="3" t="s">
        <v>18</v>
      </c>
      <c r="L10" s="7">
        <f>SUM(B38:AA38)</f>
        <v>601070.89568442735</v>
      </c>
      <c r="N10" s="3" t="s">
        <v>7</v>
      </c>
    </row>
    <row r="11" spans="1:17">
      <c r="A11" s="3" t="s">
        <v>41</v>
      </c>
      <c r="B11" s="10">
        <v>1</v>
      </c>
      <c r="C11" s="1" t="s">
        <v>7</v>
      </c>
      <c r="F11" s="21"/>
      <c r="G11" s="1" t="s">
        <v>7</v>
      </c>
      <c r="N11" s="3" t="s">
        <v>7</v>
      </c>
    </row>
    <row r="12" spans="1:17">
      <c r="A12" s="3" t="s">
        <v>36</v>
      </c>
      <c r="B12" s="14">
        <v>12.1</v>
      </c>
      <c r="C12" s="1" t="s">
        <v>7</v>
      </c>
      <c r="D12" s="2" t="s">
        <v>19</v>
      </c>
      <c r="F12" s="18">
        <v>0.17</v>
      </c>
      <c r="G12" s="1" t="s">
        <v>7</v>
      </c>
      <c r="N12" s="3" t="s">
        <v>7</v>
      </c>
    </row>
    <row r="13" spans="1:17">
      <c r="A13" s="3" t="s">
        <v>38</v>
      </c>
      <c r="B13" s="8">
        <v>0.18</v>
      </c>
      <c r="C13" s="1" t="s">
        <v>7</v>
      </c>
      <c r="G13" s="1" t="s">
        <v>7</v>
      </c>
      <c r="N13" s="3" t="s">
        <v>7</v>
      </c>
    </row>
    <row r="14" spans="1:17">
      <c r="A14" s="2"/>
      <c r="C14" s="1" t="s">
        <v>7</v>
      </c>
      <c r="G14" s="1" t="s">
        <v>7</v>
      </c>
      <c r="N14" s="3" t="s">
        <v>7</v>
      </c>
    </row>
    <row r="15" spans="1:17">
      <c r="A15" s="2"/>
      <c r="B15" s="8"/>
      <c r="C15" s="1" t="s">
        <v>7</v>
      </c>
      <c r="D15" s="23" t="s">
        <v>45</v>
      </c>
      <c r="G15" s="1" t="s">
        <v>7</v>
      </c>
      <c r="M15" s="9"/>
      <c r="N15" s="3" t="s">
        <v>7</v>
      </c>
      <c r="P15" s="9"/>
    </row>
    <row r="16" spans="1:17">
      <c r="A16" s="2"/>
      <c r="B16" s="8"/>
      <c r="C16" s="1" t="s">
        <v>7</v>
      </c>
      <c r="D16" s="3" t="s">
        <v>50</v>
      </c>
      <c r="F16" s="12">
        <v>104.25</v>
      </c>
      <c r="G16" s="1" t="s">
        <v>7</v>
      </c>
      <c r="M16" s="9"/>
      <c r="N16" s="3" t="s">
        <v>7</v>
      </c>
    </row>
    <row r="17" spans="1:27">
      <c r="A17" s="2"/>
      <c r="B17" s="8"/>
      <c r="C17" s="1" t="s">
        <v>7</v>
      </c>
      <c r="D17" t="s">
        <v>49</v>
      </c>
      <c r="F17" s="12">
        <f>F16-0.015*10*(43-F8)</f>
        <v>103.05</v>
      </c>
      <c r="G17" s="1" t="s">
        <v>7</v>
      </c>
      <c r="N17" s="3" t="s">
        <v>7</v>
      </c>
    </row>
    <row r="18" spans="1:27">
      <c r="A18" s="2"/>
      <c r="B18" s="8"/>
      <c r="C18" s="1" t="s">
        <v>7</v>
      </c>
      <c r="D18" s="22" t="s">
        <v>46</v>
      </c>
      <c r="F18" s="8"/>
      <c r="G18" s="1" t="s">
        <v>7</v>
      </c>
      <c r="N18" s="3" t="s">
        <v>7</v>
      </c>
    </row>
    <row r="19" spans="1:27">
      <c r="B19" s="13"/>
      <c r="C19" s="1" t="s">
        <v>7</v>
      </c>
      <c r="D19" s="3" t="s">
        <v>47</v>
      </c>
      <c r="F19" s="10">
        <v>5</v>
      </c>
      <c r="G19" s="1" t="s">
        <v>7</v>
      </c>
      <c r="N19" s="3" t="s">
        <v>7</v>
      </c>
    </row>
    <row r="20" spans="1:27">
      <c r="A20" s="6" t="s">
        <v>4</v>
      </c>
      <c r="B20" s="6" t="s">
        <v>4</v>
      </c>
      <c r="C20" s="6" t="s">
        <v>4</v>
      </c>
      <c r="D20" s="6" t="s">
        <v>4</v>
      </c>
      <c r="E20" s="6" t="s">
        <v>4</v>
      </c>
      <c r="F20" s="6" t="s">
        <v>4</v>
      </c>
      <c r="G20" s="6" t="s">
        <v>4</v>
      </c>
      <c r="H20" s="6" t="s">
        <v>4</v>
      </c>
      <c r="I20" s="6" t="s">
        <v>4</v>
      </c>
      <c r="J20" s="6" t="s">
        <v>4</v>
      </c>
      <c r="K20" s="6" t="s">
        <v>4</v>
      </c>
      <c r="L20" s="6" t="s">
        <v>4</v>
      </c>
      <c r="M20" s="6" t="s">
        <v>4</v>
      </c>
    </row>
    <row r="21" spans="1:27">
      <c r="A21" s="3" t="s">
        <v>20</v>
      </c>
      <c r="B21" s="10">
        <v>0</v>
      </c>
      <c r="C21" s="10">
        <v>1</v>
      </c>
      <c r="D21" s="10">
        <v>2</v>
      </c>
      <c r="E21" s="10">
        <v>3</v>
      </c>
      <c r="F21" s="10">
        <v>4</v>
      </c>
      <c r="G21" s="10">
        <v>5</v>
      </c>
      <c r="H21" s="10">
        <v>6</v>
      </c>
      <c r="I21" s="10">
        <v>7</v>
      </c>
      <c r="J21" s="10">
        <v>8</v>
      </c>
      <c r="K21" s="10">
        <v>9</v>
      </c>
      <c r="L21" s="10">
        <v>10</v>
      </c>
      <c r="M21" s="10">
        <v>11</v>
      </c>
      <c r="N21" s="10">
        <v>12</v>
      </c>
      <c r="O21" s="10">
        <v>13</v>
      </c>
      <c r="P21" s="10">
        <v>14</v>
      </c>
      <c r="Q21" s="10">
        <v>15</v>
      </c>
      <c r="R21" s="10">
        <v>16</v>
      </c>
      <c r="S21" s="10">
        <v>17</v>
      </c>
      <c r="T21" s="10">
        <v>18</v>
      </c>
      <c r="U21" s="10">
        <v>19</v>
      </c>
      <c r="V21" s="10">
        <v>20</v>
      </c>
      <c r="W21" s="10">
        <v>21</v>
      </c>
      <c r="X21" s="10">
        <v>22</v>
      </c>
      <c r="Y21" s="10">
        <v>23</v>
      </c>
      <c r="Z21" s="10">
        <v>24</v>
      </c>
      <c r="AA21" s="10">
        <v>25</v>
      </c>
    </row>
    <row r="22" spans="1:27">
      <c r="A22" s="3" t="s">
        <v>21</v>
      </c>
      <c r="B22" s="7">
        <f>-B3</f>
        <v>-665000</v>
      </c>
    </row>
    <row r="23" spans="1:27">
      <c r="A23" s="3" t="s">
        <v>37</v>
      </c>
      <c r="B23" s="9"/>
      <c r="C23" s="27">
        <f>F17</f>
        <v>103.05</v>
      </c>
      <c r="D23" s="9">
        <f t="shared" ref="D23:AA23" si="0">IF($F$19&lt;=D21,C23*(1+$F$10),C23)</f>
        <v>103.05</v>
      </c>
      <c r="E23" s="9">
        <f t="shared" si="0"/>
        <v>103.05</v>
      </c>
      <c r="F23" s="9">
        <f t="shared" si="0"/>
        <v>103.05</v>
      </c>
      <c r="G23" s="9">
        <f t="shared" si="0"/>
        <v>105.21404999999999</v>
      </c>
      <c r="H23" s="9">
        <f t="shared" si="0"/>
        <v>107.42354504999997</v>
      </c>
      <c r="I23" s="9">
        <f t="shared" si="0"/>
        <v>109.67943949604997</v>
      </c>
      <c r="J23" s="9">
        <f t="shared" si="0"/>
        <v>111.98270772546701</v>
      </c>
      <c r="K23" s="9">
        <f t="shared" si="0"/>
        <v>114.33434458770181</v>
      </c>
      <c r="L23" s="9">
        <f t="shared" si="0"/>
        <v>116.73536582404354</v>
      </c>
      <c r="M23" s="9">
        <f t="shared" si="0"/>
        <v>119.18680850634844</v>
      </c>
      <c r="N23" s="9">
        <f t="shared" si="0"/>
        <v>121.68973148498175</v>
      </c>
      <c r="O23" s="9">
        <f t="shared" si="0"/>
        <v>124.24521584616636</v>
      </c>
      <c r="P23" s="9">
        <f t="shared" si="0"/>
        <v>126.85436537893584</v>
      </c>
      <c r="Q23" s="9">
        <f t="shared" si="0"/>
        <v>129.51830705189349</v>
      </c>
      <c r="R23" s="9">
        <f t="shared" si="0"/>
        <v>132.23819149998323</v>
      </c>
      <c r="S23" s="9">
        <f t="shared" si="0"/>
        <v>135.01519352148287</v>
      </c>
      <c r="T23" s="9">
        <f t="shared" si="0"/>
        <v>137.85051258543399</v>
      </c>
      <c r="U23" s="9">
        <f t="shared" si="0"/>
        <v>140.74537334972808</v>
      </c>
      <c r="V23" s="9">
        <f t="shared" si="0"/>
        <v>143.70102619007235</v>
      </c>
      <c r="W23" s="9">
        <f t="shared" si="0"/>
        <v>146.71874774006386</v>
      </c>
      <c r="X23" s="9">
        <f t="shared" si="0"/>
        <v>149.79984144260519</v>
      </c>
      <c r="Y23" s="9">
        <f t="shared" si="0"/>
        <v>152.94563811289987</v>
      </c>
      <c r="Z23" s="9">
        <f t="shared" si="0"/>
        <v>156.15749651327076</v>
      </c>
      <c r="AA23" s="9">
        <f t="shared" si="0"/>
        <v>159.43680394004943</v>
      </c>
    </row>
    <row r="24" spans="1:27">
      <c r="A24" s="3" t="s">
        <v>39</v>
      </c>
      <c r="B24" s="9"/>
      <c r="C24" s="4">
        <f>B11*B12*365</f>
        <v>4416.5</v>
      </c>
      <c r="D24" s="4">
        <f>C24*(1-B13)</f>
        <v>3621.53</v>
      </c>
      <c r="E24" s="4">
        <f>D24*(1-B13)</f>
        <v>2969.6546000000003</v>
      </c>
      <c r="F24" s="4">
        <f>E24*(1-$B13)</f>
        <v>2435.1167720000003</v>
      </c>
      <c r="G24" s="4">
        <f>F24*(1-$B13)</f>
        <v>1996.7957530400004</v>
      </c>
      <c r="H24" s="4">
        <f t="shared" ref="H24:AA24" si="1">G24*(1-$B13)</f>
        <v>1637.3725174928004</v>
      </c>
      <c r="I24" s="4">
        <f t="shared" si="1"/>
        <v>1342.6454643440964</v>
      </c>
      <c r="J24" s="4">
        <f t="shared" si="1"/>
        <v>1100.9692807621591</v>
      </c>
      <c r="K24" s="4">
        <f t="shared" si="1"/>
        <v>902.79481022497055</v>
      </c>
      <c r="L24" s="4">
        <f t="shared" si="1"/>
        <v>740.29174438447592</v>
      </c>
      <c r="M24" s="4">
        <f t="shared" si="1"/>
        <v>607.03923039527035</v>
      </c>
      <c r="N24" s="4">
        <f t="shared" si="1"/>
        <v>497.77216892412173</v>
      </c>
      <c r="O24" s="4">
        <f t="shared" si="1"/>
        <v>408.17317851777983</v>
      </c>
      <c r="P24" s="4">
        <f t="shared" si="1"/>
        <v>334.70200638457948</v>
      </c>
      <c r="Q24" s="4">
        <f t="shared" si="1"/>
        <v>274.45564523535518</v>
      </c>
      <c r="R24" s="4">
        <f t="shared" si="1"/>
        <v>225.05362909299126</v>
      </c>
      <c r="S24" s="4">
        <f t="shared" si="1"/>
        <v>184.54397585625284</v>
      </c>
      <c r="T24" s="4">
        <f t="shared" si="1"/>
        <v>151.32606020212734</v>
      </c>
      <c r="U24" s="4">
        <f t="shared" si="1"/>
        <v>124.08736936574442</v>
      </c>
      <c r="V24" s="4">
        <f t="shared" si="1"/>
        <v>101.75164287991043</v>
      </c>
      <c r="W24" s="4">
        <f t="shared" si="1"/>
        <v>83.436347161526569</v>
      </c>
      <c r="X24" s="4">
        <f t="shared" si="1"/>
        <v>68.417804672451794</v>
      </c>
      <c r="Y24" s="4">
        <f t="shared" si="1"/>
        <v>56.102599831410473</v>
      </c>
      <c r="Z24" s="4">
        <f t="shared" si="1"/>
        <v>46.004131861756591</v>
      </c>
      <c r="AA24" s="4">
        <f t="shared" si="1"/>
        <v>37.723388126640408</v>
      </c>
    </row>
    <row r="25" spans="1:27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P25" s="9"/>
      <c r="Q25" s="9"/>
      <c r="R25" s="9"/>
      <c r="T25" s="9"/>
      <c r="U25" s="9"/>
      <c r="V25" s="9"/>
      <c r="W25" s="9"/>
      <c r="X25" s="9"/>
      <c r="Y25" s="9"/>
      <c r="Z25" s="9"/>
      <c r="AA25" s="9"/>
    </row>
    <row r="26" spans="1:27">
      <c r="A26" s="3" t="s">
        <v>22</v>
      </c>
      <c r="B26" s="9"/>
      <c r="C26" s="7">
        <f t="shared" ref="C26:AA26" si="2">C23*C24</f>
        <v>455120.32500000001</v>
      </c>
      <c r="D26" s="7">
        <f t="shared" si="2"/>
        <v>373198.66649999999</v>
      </c>
      <c r="E26" s="7">
        <f t="shared" si="2"/>
        <v>306022.90653000004</v>
      </c>
      <c r="F26" s="7">
        <f t="shared" si="2"/>
        <v>250938.78335460002</v>
      </c>
      <c r="G26" s="7">
        <f t="shared" si="2"/>
        <v>210090.96820013822</v>
      </c>
      <c r="H26" s="7">
        <f t="shared" si="2"/>
        <v>175892.36039651971</v>
      </c>
      <c r="I26" s="7">
        <f t="shared" si="2"/>
        <v>147260.60197117424</v>
      </c>
      <c r="J26" s="7">
        <f t="shared" si="2"/>
        <v>123289.52118230649</v>
      </c>
      <c r="K26" s="7">
        <f t="shared" si="2"/>
        <v>103220.45292425064</v>
      </c>
      <c r="L26" s="7">
        <f t="shared" si="2"/>
        <v>86418.22759724113</v>
      </c>
      <c r="M26" s="7">
        <f t="shared" si="2"/>
        <v>72351.068508962213</v>
      </c>
      <c r="N26" s="7">
        <f t="shared" si="2"/>
        <v>60573.761577073346</v>
      </c>
      <c r="O26" s="7">
        <f t="shared" si="2"/>
        <v>50713.564667557352</v>
      </c>
      <c r="P26" s="7">
        <f t="shared" si="2"/>
        <v>42458.410610972358</v>
      </c>
      <c r="Q26" s="7">
        <f t="shared" si="2"/>
        <v>35547.030531718279</v>
      </c>
      <c r="R26" s="7">
        <f t="shared" si="2"/>
        <v>29760.684901765177</v>
      </c>
      <c r="S26" s="7">
        <f t="shared" si="2"/>
        <v>24916.240613455841</v>
      </c>
      <c r="T26" s="7">
        <f t="shared" si="2"/>
        <v>20860.374966397496</v>
      </c>
      <c r="U26" s="7">
        <f t="shared" si="2"/>
        <v>17464.72312936731</v>
      </c>
      <c r="V26" s="7">
        <f t="shared" si="2"/>
        <v>14621.815498368898</v>
      </c>
      <c r="W26" s="7">
        <f t="shared" si="2"/>
        <v>12241.67637154441</v>
      </c>
      <c r="X26" s="7">
        <f t="shared" si="2"/>
        <v>10248.976291784411</v>
      </c>
      <c r="Y26" s="7">
        <f t="shared" si="2"/>
        <v>8580.647931007743</v>
      </c>
      <c r="Z26" s="7">
        <f t="shared" si="2"/>
        <v>7183.8900607983032</v>
      </c>
      <c r="AA26" s="7">
        <f t="shared" si="2"/>
        <v>6014.4964367015555</v>
      </c>
    </row>
    <row r="27" spans="1:27">
      <c r="A27" s="3" t="s">
        <v>23</v>
      </c>
      <c r="B27" s="9"/>
      <c r="C27" s="4">
        <f t="shared" ref="C27:AA27" si="3">$F12*C26</f>
        <v>77370.455250000014</v>
      </c>
      <c r="D27" s="4">
        <f t="shared" si="3"/>
        <v>63443.773305000002</v>
      </c>
      <c r="E27" s="4">
        <f t="shared" si="3"/>
        <v>52023.894110100009</v>
      </c>
      <c r="F27" s="4">
        <f t="shared" si="3"/>
        <v>42659.593170282009</v>
      </c>
      <c r="G27" s="4">
        <f t="shared" si="3"/>
        <v>35715.464594023499</v>
      </c>
      <c r="H27" s="4">
        <f t="shared" si="3"/>
        <v>29901.701267408353</v>
      </c>
      <c r="I27" s="4">
        <f t="shared" si="3"/>
        <v>25034.302335099623</v>
      </c>
      <c r="J27" s="4">
        <f t="shared" si="3"/>
        <v>20959.218600992106</v>
      </c>
      <c r="K27" s="4">
        <f t="shared" si="3"/>
        <v>17547.476997122609</v>
      </c>
      <c r="L27" s="4">
        <f t="shared" si="3"/>
        <v>14691.098691530993</v>
      </c>
      <c r="M27" s="4">
        <f t="shared" si="3"/>
        <v>12299.681646523577</v>
      </c>
      <c r="N27" s="4">
        <f t="shared" si="3"/>
        <v>10297.53946810247</v>
      </c>
      <c r="O27" s="4">
        <f t="shared" si="3"/>
        <v>8621.3059934847497</v>
      </c>
      <c r="P27" s="4">
        <f t="shared" si="3"/>
        <v>7217.9298038653014</v>
      </c>
      <c r="Q27" s="4">
        <f t="shared" si="3"/>
        <v>6042.9951903921083</v>
      </c>
      <c r="R27" s="4">
        <f t="shared" si="3"/>
        <v>5059.3164333000805</v>
      </c>
      <c r="S27" s="4">
        <f t="shared" si="3"/>
        <v>4235.7609042874928</v>
      </c>
      <c r="T27" s="4">
        <f t="shared" si="3"/>
        <v>3546.2637442875744</v>
      </c>
      <c r="U27" s="4">
        <f t="shared" si="3"/>
        <v>2969.0029319924429</v>
      </c>
      <c r="V27" s="4">
        <f t="shared" si="3"/>
        <v>2485.7086347227128</v>
      </c>
      <c r="W27" s="4">
        <f t="shared" si="3"/>
        <v>2081.0849831625501</v>
      </c>
      <c r="X27" s="4">
        <f t="shared" si="3"/>
        <v>1742.3259696033499</v>
      </c>
      <c r="Y27" s="4">
        <f t="shared" si="3"/>
        <v>1458.7101482713165</v>
      </c>
      <c r="Z27" s="4">
        <f t="shared" si="3"/>
        <v>1221.2613103357116</v>
      </c>
      <c r="AA27" s="4">
        <f t="shared" si="3"/>
        <v>1022.4643942392645</v>
      </c>
    </row>
    <row r="28" spans="1:27">
      <c r="A28" s="3" t="s">
        <v>24</v>
      </c>
      <c r="B28" s="9"/>
      <c r="C28" s="7">
        <f t="shared" ref="C28:AA28" si="4">C26-C27</f>
        <v>377749.86975000001</v>
      </c>
      <c r="D28" s="7">
        <f t="shared" si="4"/>
        <v>309754.89319500001</v>
      </c>
      <c r="E28" s="7">
        <f t="shared" si="4"/>
        <v>253999.01241990004</v>
      </c>
      <c r="F28" s="7">
        <f t="shared" si="4"/>
        <v>208279.19018431799</v>
      </c>
      <c r="G28" s="7">
        <f t="shared" si="4"/>
        <v>174375.50360611471</v>
      </c>
      <c r="H28" s="7">
        <f t="shared" si="4"/>
        <v>145990.65912911136</v>
      </c>
      <c r="I28" s="7">
        <f t="shared" si="4"/>
        <v>122226.29963607462</v>
      </c>
      <c r="J28" s="7">
        <f t="shared" si="4"/>
        <v>102330.30258131438</v>
      </c>
      <c r="K28" s="7">
        <f t="shared" si="4"/>
        <v>85672.975927128035</v>
      </c>
      <c r="L28" s="7">
        <f t="shared" si="4"/>
        <v>71727.128905710138</v>
      </c>
      <c r="M28" s="7">
        <f t="shared" si="4"/>
        <v>60051.386862438638</v>
      </c>
      <c r="N28" s="7">
        <f t="shared" si="4"/>
        <v>50276.222108970876</v>
      </c>
      <c r="O28" s="7">
        <f t="shared" si="4"/>
        <v>42092.258674072604</v>
      </c>
      <c r="P28" s="7">
        <f t="shared" si="4"/>
        <v>35240.480807107058</v>
      </c>
      <c r="Q28" s="7">
        <f t="shared" si="4"/>
        <v>29504.035341326169</v>
      </c>
      <c r="R28" s="7">
        <f t="shared" si="4"/>
        <v>24701.368468465094</v>
      </c>
      <c r="S28" s="7">
        <f t="shared" si="4"/>
        <v>20680.479709168347</v>
      </c>
      <c r="T28" s="7">
        <f t="shared" si="4"/>
        <v>17314.111222109921</v>
      </c>
      <c r="U28" s="7">
        <f t="shared" si="4"/>
        <v>14495.720197374867</v>
      </c>
      <c r="V28" s="7">
        <f t="shared" si="4"/>
        <v>12136.106863646186</v>
      </c>
      <c r="W28" s="7">
        <f t="shared" si="4"/>
        <v>10160.591388381861</v>
      </c>
      <c r="X28" s="7">
        <f t="shared" si="4"/>
        <v>8506.6503221810617</v>
      </c>
      <c r="Y28" s="7">
        <f t="shared" si="4"/>
        <v>7121.937782736426</v>
      </c>
      <c r="Z28" s="7">
        <f t="shared" si="4"/>
        <v>5962.6287504625916</v>
      </c>
      <c r="AA28" s="7">
        <f t="shared" si="4"/>
        <v>4992.0320424622914</v>
      </c>
    </row>
    <row r="29" spans="1:27">
      <c r="A29" s="3" t="s">
        <v>25</v>
      </c>
      <c r="B29" s="9"/>
      <c r="C29" s="4">
        <f>IF(C24=0,0,+$B6*12+$B7)</f>
        <v>18000</v>
      </c>
      <c r="D29" s="4">
        <f>C29*(1+$B8)</f>
        <v>18378</v>
      </c>
      <c r="E29" s="4">
        <f t="shared" ref="E29:Q29" si="5">D29*(1+$B8)</f>
        <v>18763.937999999998</v>
      </c>
      <c r="F29" s="4">
        <f t="shared" si="5"/>
        <v>19157.980697999996</v>
      </c>
      <c r="G29" s="4">
        <f t="shared" si="5"/>
        <v>19560.298292657993</v>
      </c>
      <c r="H29" s="4">
        <f t="shared" si="5"/>
        <v>19971.064556803809</v>
      </c>
      <c r="I29" s="4">
        <f t="shared" si="5"/>
        <v>20390.456912496687</v>
      </c>
      <c r="J29" s="4">
        <f t="shared" si="5"/>
        <v>20818.656507659118</v>
      </c>
      <c r="K29" s="4">
        <f t="shared" si="5"/>
        <v>21255.848294319956</v>
      </c>
      <c r="L29" s="4">
        <f t="shared" si="5"/>
        <v>21702.221108500675</v>
      </c>
      <c r="M29" s="4">
        <f t="shared" si="5"/>
        <v>22157.967751779186</v>
      </c>
      <c r="N29" s="4">
        <f t="shared" si="5"/>
        <v>22623.285074566546</v>
      </c>
      <c r="O29" s="4">
        <f t="shared" si="5"/>
        <v>23098.374061132439</v>
      </c>
      <c r="P29" s="4">
        <f t="shared" si="5"/>
        <v>23583.439916416217</v>
      </c>
      <c r="Q29" s="4">
        <f t="shared" si="5"/>
        <v>24078.692154660956</v>
      </c>
      <c r="R29" s="4">
        <f>Q29</f>
        <v>24078.692154660956</v>
      </c>
      <c r="S29" s="4">
        <f>R29</f>
        <v>24078.692154660956</v>
      </c>
      <c r="T29" s="4">
        <f>S29</f>
        <v>24078.692154660956</v>
      </c>
      <c r="U29" s="4">
        <f>T29</f>
        <v>24078.692154660956</v>
      </c>
      <c r="V29" s="4">
        <f>U29/2</f>
        <v>12039.346077330478</v>
      </c>
      <c r="W29" s="4">
        <f>V29</f>
        <v>12039.346077330478</v>
      </c>
      <c r="X29" s="4">
        <f>W29</f>
        <v>12039.346077330478</v>
      </c>
      <c r="Y29" s="4">
        <f>X29</f>
        <v>12039.346077330478</v>
      </c>
      <c r="Z29" s="4">
        <f>Y29</f>
        <v>12039.346077330478</v>
      </c>
      <c r="AA29" s="4">
        <f>Z29</f>
        <v>12039.346077330478</v>
      </c>
    </row>
    <row r="30" spans="1:27">
      <c r="A30" s="3" t="s">
        <v>26</v>
      </c>
      <c r="B30" s="9"/>
      <c r="C30" s="4">
        <f t="shared" ref="C30:AA30" si="6">($F4+$F5)*C28</f>
        <v>46840.983849000004</v>
      </c>
      <c r="D30" s="4">
        <f t="shared" si="6"/>
        <v>38409.606756180001</v>
      </c>
      <c r="E30" s="4">
        <f t="shared" si="6"/>
        <v>31495.877540067606</v>
      </c>
      <c r="F30" s="4">
        <f t="shared" si="6"/>
        <v>25826.61958285543</v>
      </c>
      <c r="G30" s="4">
        <f t="shared" si="6"/>
        <v>21622.562447158223</v>
      </c>
      <c r="H30" s="4">
        <f t="shared" si="6"/>
        <v>18102.841732009809</v>
      </c>
      <c r="I30" s="4">
        <f t="shared" si="6"/>
        <v>15156.061154873252</v>
      </c>
      <c r="J30" s="4">
        <f t="shared" si="6"/>
        <v>12688.957520082982</v>
      </c>
      <c r="K30" s="4">
        <f t="shared" si="6"/>
        <v>10623.449014963877</v>
      </c>
      <c r="L30" s="4">
        <f t="shared" si="6"/>
        <v>8894.1639843080575</v>
      </c>
      <c r="M30" s="4">
        <f t="shared" si="6"/>
        <v>7446.3719709423913</v>
      </c>
      <c r="N30" s="4">
        <f t="shared" si="6"/>
        <v>6234.2515415123889</v>
      </c>
      <c r="O30" s="4">
        <f t="shared" si="6"/>
        <v>5219.4400755850029</v>
      </c>
      <c r="P30" s="4">
        <f t="shared" si="6"/>
        <v>4369.8196200812754</v>
      </c>
      <c r="Q30" s="4">
        <f t="shared" si="6"/>
        <v>3658.5003823244451</v>
      </c>
      <c r="R30" s="4">
        <f t="shared" si="6"/>
        <v>3062.9696900896715</v>
      </c>
      <c r="S30" s="4">
        <f t="shared" si="6"/>
        <v>2564.3794839368752</v>
      </c>
      <c r="T30" s="4">
        <f t="shared" si="6"/>
        <v>2146.94979154163</v>
      </c>
      <c r="U30" s="4">
        <f t="shared" si="6"/>
        <v>1797.4693044744836</v>
      </c>
      <c r="V30" s="4">
        <f t="shared" si="6"/>
        <v>1504.8772510921272</v>
      </c>
      <c r="W30" s="4">
        <f t="shared" si="6"/>
        <v>1259.9133321593508</v>
      </c>
      <c r="X30" s="4">
        <f t="shared" si="6"/>
        <v>1054.8246399504517</v>
      </c>
      <c r="Y30" s="4">
        <f t="shared" si="6"/>
        <v>883.12028505931687</v>
      </c>
      <c r="Z30" s="4">
        <f t="shared" si="6"/>
        <v>739.36596505736134</v>
      </c>
      <c r="AA30" s="4">
        <f t="shared" si="6"/>
        <v>619.01197326532417</v>
      </c>
    </row>
    <row r="31" spans="1:27">
      <c r="A31" s="3" t="s">
        <v>27</v>
      </c>
      <c r="B31" s="4">
        <f>IF(B11=0,-B22,B3*B4)</f>
        <v>482125</v>
      </c>
      <c r="C31" s="4">
        <f t="shared" ref="C31:I31" si="7">IF($B11=0,0,(1-$B$4)*$B$3/7)</f>
        <v>26125.000000000004</v>
      </c>
      <c r="D31" s="4">
        <f t="shared" si="7"/>
        <v>26125.000000000004</v>
      </c>
      <c r="E31" s="4">
        <f t="shared" si="7"/>
        <v>26125.000000000004</v>
      </c>
      <c r="F31" s="4">
        <f t="shared" si="7"/>
        <v>26125.000000000004</v>
      </c>
      <c r="G31" s="4">
        <f t="shared" si="7"/>
        <v>26125.000000000004</v>
      </c>
      <c r="H31" s="4">
        <f t="shared" si="7"/>
        <v>26125.000000000004</v>
      </c>
      <c r="I31" s="4">
        <f t="shared" si="7"/>
        <v>26125.000000000004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>
      <c r="A32" s="3" t="s">
        <v>28</v>
      </c>
      <c r="B32" s="7">
        <f t="shared" ref="B32:K32" si="8">B28-SUM(B29:B31)</f>
        <v>-482125</v>
      </c>
      <c r="C32" s="7">
        <f t="shared" si="8"/>
        <v>286783.885901</v>
      </c>
      <c r="D32" s="7">
        <f t="shared" si="8"/>
        <v>226842.28643882001</v>
      </c>
      <c r="E32" s="7">
        <f t="shared" si="8"/>
        <v>177614.19687983242</v>
      </c>
      <c r="F32" s="7">
        <f t="shared" si="8"/>
        <v>137169.58990346256</v>
      </c>
      <c r="G32" s="7">
        <f t="shared" si="8"/>
        <v>107067.6428662985</v>
      </c>
      <c r="H32" s="7">
        <f t="shared" si="8"/>
        <v>81791.752840297733</v>
      </c>
      <c r="I32" s="7">
        <f t="shared" si="8"/>
        <v>60554.781568704682</v>
      </c>
      <c r="J32" s="7">
        <f t="shared" si="8"/>
        <v>68822.688553572283</v>
      </c>
      <c r="K32" s="7">
        <f t="shared" si="8"/>
        <v>53793.678617844198</v>
      </c>
      <c r="L32" s="7">
        <f t="shared" ref="L32:U32" si="9">L28-SUM(L29:L31)</f>
        <v>41130.743812901404</v>
      </c>
      <c r="M32" s="7">
        <f t="shared" si="9"/>
        <v>30447.047139717062</v>
      </c>
      <c r="N32" s="7">
        <f t="shared" si="9"/>
        <v>21418.685492891942</v>
      </c>
      <c r="O32" s="7">
        <f t="shared" si="9"/>
        <v>13774.444537355161</v>
      </c>
      <c r="P32" s="7">
        <f t="shared" si="9"/>
        <v>7287.221270609567</v>
      </c>
      <c r="Q32" s="7">
        <f t="shared" si="9"/>
        <v>1766.8428043407694</v>
      </c>
      <c r="R32" s="7">
        <f t="shared" si="9"/>
        <v>-2440.2933762855318</v>
      </c>
      <c r="S32" s="7">
        <f t="shared" si="9"/>
        <v>-5962.5919294294836</v>
      </c>
      <c r="T32" s="7">
        <f t="shared" si="9"/>
        <v>-8911.5307240926631</v>
      </c>
      <c r="U32" s="7">
        <f t="shared" si="9"/>
        <v>-11380.44126176057</v>
      </c>
      <c r="V32" s="7">
        <f t="shared" ref="V32:AA32" si="10">V28-SUM(V29:V31)</f>
        <v>-1408.1164647764199</v>
      </c>
      <c r="W32" s="7">
        <f t="shared" si="10"/>
        <v>-3138.6680211079674</v>
      </c>
      <c r="X32" s="7">
        <f t="shared" si="10"/>
        <v>-4587.5203950998675</v>
      </c>
      <c r="Y32" s="7">
        <f t="shared" si="10"/>
        <v>-5800.5285796533681</v>
      </c>
      <c r="Z32" s="7">
        <f t="shared" si="10"/>
        <v>-6816.0832919252471</v>
      </c>
      <c r="AA32" s="7">
        <f t="shared" si="10"/>
        <v>-7666.3260081335102</v>
      </c>
    </row>
    <row r="33" spans="1:27">
      <c r="A33" s="3" t="s">
        <v>29</v>
      </c>
      <c r="B33" s="9"/>
      <c r="C33" s="4">
        <f t="shared" ref="C33:AA33" si="11">IF(0.5*C32&lt;0.15*C28,0.5*C32,0.15*C28)</f>
        <v>56662.480462500003</v>
      </c>
      <c r="D33" s="4">
        <f t="shared" si="11"/>
        <v>46463.233979249999</v>
      </c>
      <c r="E33" s="4">
        <f t="shared" si="11"/>
        <v>38099.851862985008</v>
      </c>
      <c r="F33" s="4">
        <f t="shared" si="11"/>
        <v>31241.878527647699</v>
      </c>
      <c r="G33" s="4">
        <f t="shared" si="11"/>
        <v>26156.325540917205</v>
      </c>
      <c r="H33" s="4">
        <f t="shared" si="11"/>
        <v>21898.598869366702</v>
      </c>
      <c r="I33" s="4">
        <f t="shared" si="11"/>
        <v>18333.944945411193</v>
      </c>
      <c r="J33" s="4">
        <f t="shared" si="11"/>
        <v>15349.545387197155</v>
      </c>
      <c r="K33" s="4">
        <f t="shared" si="11"/>
        <v>12850.946389069204</v>
      </c>
      <c r="L33" s="4">
        <f t="shared" si="11"/>
        <v>10759.06933585652</v>
      </c>
      <c r="M33" s="4">
        <f t="shared" si="11"/>
        <v>9007.7080293657946</v>
      </c>
      <c r="N33" s="4">
        <f t="shared" si="11"/>
        <v>7541.4333163456313</v>
      </c>
      <c r="O33" s="4">
        <f t="shared" si="11"/>
        <v>6313.83880111089</v>
      </c>
      <c r="P33" s="4">
        <f t="shared" si="11"/>
        <v>3643.6106353047835</v>
      </c>
      <c r="Q33" s="4">
        <f t="shared" si="11"/>
        <v>883.42140217038468</v>
      </c>
      <c r="R33" s="4">
        <f t="shared" si="11"/>
        <v>-1220.1466881427659</v>
      </c>
      <c r="S33" s="4">
        <f t="shared" si="11"/>
        <v>-2981.2959647147418</v>
      </c>
      <c r="T33" s="4">
        <f t="shared" si="11"/>
        <v>-4455.7653620463316</v>
      </c>
      <c r="U33" s="4">
        <f t="shared" si="11"/>
        <v>-5690.2206308802852</v>
      </c>
      <c r="V33" s="4">
        <f t="shared" si="11"/>
        <v>-704.05823238820994</v>
      </c>
      <c r="W33" s="4">
        <f t="shared" si="11"/>
        <v>-1569.3340105539837</v>
      </c>
      <c r="X33" s="4">
        <f t="shared" si="11"/>
        <v>-2293.7601975499338</v>
      </c>
      <c r="Y33" s="4">
        <f t="shared" si="11"/>
        <v>-2900.264289826684</v>
      </c>
      <c r="Z33" s="4">
        <f t="shared" si="11"/>
        <v>-3408.0416459626235</v>
      </c>
      <c r="AA33" s="4">
        <f t="shared" si="11"/>
        <v>-3833.1630040667551</v>
      </c>
    </row>
    <row r="34" spans="1:27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>
      <c r="A35" s="3" t="s">
        <v>30</v>
      </c>
      <c r="B35" s="4">
        <f>$F3*(B32-B33)</f>
        <v>-168743.75</v>
      </c>
      <c r="C35" s="4">
        <f>$F3*(C32-C33)</f>
        <v>80542.491903474991</v>
      </c>
      <c r="D35" s="4">
        <f>$F3*(D32-D33)</f>
        <v>63132.668360849493</v>
      </c>
      <c r="E35" s="4">
        <f t="shared" ref="E35:AA35" si="12">$F3*(E32-E33)</f>
        <v>48830.020755896592</v>
      </c>
      <c r="F35" s="4">
        <f t="shared" si="12"/>
        <v>37074.698981535199</v>
      </c>
      <c r="G35" s="4">
        <f t="shared" si="12"/>
        <v>28318.961063883453</v>
      </c>
      <c r="H35" s="4">
        <f t="shared" si="12"/>
        <v>20962.603889825859</v>
      </c>
      <c r="I35" s="4">
        <f t="shared" si="12"/>
        <v>14777.292818152722</v>
      </c>
      <c r="J35" s="4">
        <f t="shared" si="12"/>
        <v>18715.600108231294</v>
      </c>
      <c r="K35" s="4">
        <f t="shared" si="12"/>
        <v>14329.956280071247</v>
      </c>
      <c r="L35" s="4">
        <f t="shared" si="12"/>
        <v>10630.086066965709</v>
      </c>
      <c r="M35" s="4">
        <f t="shared" si="12"/>
        <v>7503.768688622944</v>
      </c>
      <c r="N35" s="4">
        <f t="shared" si="12"/>
        <v>4857.0382617912082</v>
      </c>
      <c r="O35" s="4">
        <f t="shared" si="12"/>
        <v>2611.2120076854944</v>
      </c>
      <c r="P35" s="4">
        <f t="shared" si="12"/>
        <v>1275.2637223566742</v>
      </c>
      <c r="Q35" s="4">
        <f t="shared" si="12"/>
        <v>309.1974907596346</v>
      </c>
      <c r="R35" s="4">
        <f t="shared" si="12"/>
        <v>-427.05134084996803</v>
      </c>
      <c r="S35" s="4">
        <f t="shared" si="12"/>
        <v>-1043.4535876501595</v>
      </c>
      <c r="T35" s="4">
        <f t="shared" si="12"/>
        <v>-1559.5178767162161</v>
      </c>
      <c r="U35" s="4">
        <f t="shared" si="12"/>
        <v>-1991.5772208080996</v>
      </c>
      <c r="V35" s="4">
        <f t="shared" si="12"/>
        <v>-246.42038133587346</v>
      </c>
      <c r="W35" s="4">
        <f t="shared" si="12"/>
        <v>-549.26690369389428</v>
      </c>
      <c r="X35" s="4">
        <f t="shared" si="12"/>
        <v>-802.81606914247675</v>
      </c>
      <c r="Y35" s="4">
        <f t="shared" si="12"/>
        <v>-1015.0925014393393</v>
      </c>
      <c r="Z35" s="4">
        <f t="shared" si="12"/>
        <v>-1192.8145760869181</v>
      </c>
      <c r="AA35" s="4">
        <f t="shared" si="12"/>
        <v>-1341.6070514233643</v>
      </c>
    </row>
    <row r="36" spans="1:27">
      <c r="A36" s="3" t="s">
        <v>31</v>
      </c>
      <c r="B36" s="7">
        <f t="shared" ref="B36:K36" si="13">B32-SUM(B33:B35)</f>
        <v>-313381.25</v>
      </c>
      <c r="C36" s="7">
        <f t="shared" si="13"/>
        <v>149578.913535025</v>
      </c>
      <c r="D36" s="7">
        <f t="shared" si="13"/>
        <v>117246.38409872052</v>
      </c>
      <c r="E36" s="7">
        <f t="shared" si="13"/>
        <v>90684.324260950816</v>
      </c>
      <c r="F36" s="7">
        <f t="shared" si="13"/>
        <v>68853.012394279664</v>
      </c>
      <c r="G36" s="7">
        <f t="shared" si="13"/>
        <v>52592.356261497844</v>
      </c>
      <c r="H36" s="7">
        <f t="shared" si="13"/>
        <v>38930.550081105175</v>
      </c>
      <c r="I36" s="7">
        <f t="shared" si="13"/>
        <v>27443.543805140769</v>
      </c>
      <c r="J36" s="7">
        <f t="shared" si="13"/>
        <v>34757.543058143834</v>
      </c>
      <c r="K36" s="7">
        <f t="shared" si="13"/>
        <v>26612.775948703747</v>
      </c>
      <c r="L36" s="7">
        <f t="shared" ref="L36:U36" si="14">L32-SUM(L33:L35)</f>
        <v>19741.588410079174</v>
      </c>
      <c r="M36" s="7">
        <f t="shared" si="14"/>
        <v>13935.570421728324</v>
      </c>
      <c r="N36" s="7">
        <f t="shared" si="14"/>
        <v>9020.2139147551025</v>
      </c>
      <c r="O36" s="7">
        <f t="shared" si="14"/>
        <v>4849.3937285587763</v>
      </c>
      <c r="P36" s="7">
        <f t="shared" si="14"/>
        <v>2368.3469129481091</v>
      </c>
      <c r="Q36" s="7">
        <f t="shared" si="14"/>
        <v>574.22391141075013</v>
      </c>
      <c r="R36" s="7">
        <f t="shared" si="14"/>
        <v>-793.0953472927979</v>
      </c>
      <c r="S36" s="7">
        <f t="shared" si="14"/>
        <v>-1937.8423770645823</v>
      </c>
      <c r="T36" s="7">
        <f t="shared" si="14"/>
        <v>-2896.2474853301155</v>
      </c>
      <c r="U36" s="7">
        <f t="shared" si="14"/>
        <v>-3698.6434100721854</v>
      </c>
      <c r="V36" s="7">
        <f t="shared" ref="V36:AA36" si="15">V32-SUM(V33:V35)</f>
        <v>-457.63785105233649</v>
      </c>
      <c r="W36" s="7">
        <f t="shared" si="15"/>
        <v>-1020.0671068600896</v>
      </c>
      <c r="X36" s="7">
        <f t="shared" si="15"/>
        <v>-1490.9441284074569</v>
      </c>
      <c r="Y36" s="7">
        <f t="shared" si="15"/>
        <v>-1885.1717883873448</v>
      </c>
      <c r="Z36" s="7">
        <f t="shared" si="15"/>
        <v>-2215.2270698757056</v>
      </c>
      <c r="AA36" s="7">
        <f t="shared" si="15"/>
        <v>-2491.5559526433908</v>
      </c>
    </row>
    <row r="37" spans="1:27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</row>
    <row r="38" spans="1:27">
      <c r="A38" s="3" t="s">
        <v>32</v>
      </c>
      <c r="B38" s="7">
        <f>B36+B31+B33+B22</f>
        <v>-496256.25</v>
      </c>
      <c r="C38" s="7">
        <f t="shared" ref="C38:AA38" si="16">C36+C31+C33</f>
        <v>232366.39399752501</v>
      </c>
      <c r="D38" s="7">
        <f t="shared" si="16"/>
        <v>189834.61807797052</v>
      </c>
      <c r="E38" s="7">
        <f t="shared" si="16"/>
        <v>154909.17612393582</v>
      </c>
      <c r="F38" s="7">
        <f t="shared" si="16"/>
        <v>126219.89092192736</v>
      </c>
      <c r="G38" s="7">
        <f t="shared" si="16"/>
        <v>104873.68180241506</v>
      </c>
      <c r="H38" s="7">
        <f t="shared" si="16"/>
        <v>86954.148950471877</v>
      </c>
      <c r="I38" s="7">
        <f t="shared" si="16"/>
        <v>71902.488750551958</v>
      </c>
      <c r="J38" s="7">
        <f t="shared" si="16"/>
        <v>50107.088445340989</v>
      </c>
      <c r="K38" s="7">
        <f t="shared" si="16"/>
        <v>39463.722337772953</v>
      </c>
      <c r="L38" s="7">
        <f t="shared" si="16"/>
        <v>30500.657745935692</v>
      </c>
      <c r="M38" s="7">
        <f t="shared" si="16"/>
        <v>22943.27845109412</v>
      </c>
      <c r="N38" s="7">
        <f t="shared" si="16"/>
        <v>16561.647231100735</v>
      </c>
      <c r="O38" s="7">
        <f t="shared" si="16"/>
        <v>11163.232529669665</v>
      </c>
      <c r="P38" s="7">
        <f t="shared" si="16"/>
        <v>6011.9575482528926</v>
      </c>
      <c r="Q38" s="7">
        <f t="shared" si="16"/>
        <v>1457.6453135811348</v>
      </c>
      <c r="R38" s="7">
        <f t="shared" si="16"/>
        <v>-2013.2420354355638</v>
      </c>
      <c r="S38" s="7">
        <f t="shared" si="16"/>
        <v>-4919.138341779324</v>
      </c>
      <c r="T38" s="7">
        <f t="shared" si="16"/>
        <v>-7352.0128473764471</v>
      </c>
      <c r="U38" s="7">
        <f t="shared" si="16"/>
        <v>-9388.8640409524705</v>
      </c>
      <c r="V38" s="7">
        <f t="shared" si="16"/>
        <v>-1161.6960834405463</v>
      </c>
      <c r="W38" s="7">
        <f t="shared" si="16"/>
        <v>-2589.4011174140733</v>
      </c>
      <c r="X38" s="7">
        <f t="shared" si="16"/>
        <v>-3784.7043259573907</v>
      </c>
      <c r="Y38" s="7">
        <f t="shared" si="16"/>
        <v>-4785.4360782140284</v>
      </c>
      <c r="Z38" s="7">
        <f t="shared" si="16"/>
        <v>-5623.2687158383287</v>
      </c>
      <c r="AA38" s="7">
        <f t="shared" si="16"/>
        <v>-6324.7189567101459</v>
      </c>
    </row>
    <row r="39" spans="1:27">
      <c r="A39" s="3" t="s">
        <v>33</v>
      </c>
      <c r="B39" s="7">
        <f>SUM($B38)</f>
        <v>-496256.25</v>
      </c>
      <c r="C39" s="7">
        <f>SUM($B38:C38)</f>
        <v>-263889.85600247502</v>
      </c>
      <c r="D39" s="7">
        <f>SUM($B38:D38)</f>
        <v>-74055.237924504501</v>
      </c>
      <c r="E39" s="7">
        <f>SUM($B38:E38)</f>
        <v>80853.938199431315</v>
      </c>
      <c r="F39" s="7">
        <f>SUM($B38:F38)</f>
        <v>207073.82912135869</v>
      </c>
      <c r="G39" s="7">
        <f>SUM($B38:G38)</f>
        <v>311947.51092377375</v>
      </c>
      <c r="H39" s="7">
        <f>SUM($B38:H38)</f>
        <v>398901.65987424564</v>
      </c>
      <c r="I39" s="7">
        <f>SUM($B38:I38)</f>
        <v>470804.14862479758</v>
      </c>
      <c r="J39" s="7">
        <f>SUM($B38:J38)</f>
        <v>520911.23707013857</v>
      </c>
      <c r="K39" s="7">
        <f>SUM($B38:K38)</f>
        <v>560374.95940791152</v>
      </c>
      <c r="L39" s="7">
        <f>SUM($B38:L38)</f>
        <v>590875.61715384724</v>
      </c>
      <c r="M39" s="7">
        <f>SUM($B38:M38)</f>
        <v>613818.89560494141</v>
      </c>
      <c r="N39" s="7">
        <f>SUM($B38:N38)</f>
        <v>630380.54283604212</v>
      </c>
      <c r="O39" s="7">
        <f>SUM($B38:O38)</f>
        <v>641543.77536571177</v>
      </c>
      <c r="P39" s="7">
        <f>SUM($B38:P38)</f>
        <v>647555.73291396466</v>
      </c>
      <c r="Q39" s="7">
        <f>SUM($B38:Q38)</f>
        <v>649013.37822754576</v>
      </c>
      <c r="R39" s="7">
        <f>SUM($B38:R38)</f>
        <v>647000.13619211025</v>
      </c>
      <c r="S39" s="7">
        <f>SUM($B38:S38)</f>
        <v>642080.9978503309</v>
      </c>
      <c r="T39" s="7">
        <f>SUM($B38:T38)</f>
        <v>634728.98500295449</v>
      </c>
      <c r="U39" s="7">
        <f>SUM($B38:U38)</f>
        <v>625340.12096200197</v>
      </c>
      <c r="V39" s="7">
        <f>SUM($B38:V38)</f>
        <v>624178.4248785614</v>
      </c>
      <c r="W39" s="7">
        <f>SUM($B38:W38)</f>
        <v>621589.02376114728</v>
      </c>
      <c r="X39" s="7">
        <f>SUM($B38:X38)</f>
        <v>617804.31943518994</v>
      </c>
      <c r="Y39" s="7">
        <f>SUM($B38:Y38)</f>
        <v>613018.88335697586</v>
      </c>
      <c r="Z39" s="7">
        <f>SUM($B38:Z38)</f>
        <v>607395.61464113754</v>
      </c>
      <c r="AA39" s="7">
        <f>SUM($B38:AA38)</f>
        <v>601070.89568442735</v>
      </c>
    </row>
    <row r="40" spans="1:27">
      <c r="A40" s="3" t="s">
        <v>34</v>
      </c>
      <c r="B40" s="7">
        <f>B38</f>
        <v>-496256.25</v>
      </c>
      <c r="C40" s="7">
        <f>NPV(0.25,C38)+$B38</f>
        <v>-310363.13480197999</v>
      </c>
      <c r="D40" s="7">
        <f>NPV(0.25,$C38:D38)+$B38</f>
        <v>-188868.97923207888</v>
      </c>
      <c r="E40" s="7">
        <f>NPV(0.25,$C38:E38)+$B38</f>
        <v>-109555.48105662374</v>
      </c>
      <c r="F40" s="7">
        <f>NPV(0.25,$C38:F38)+$B38</f>
        <v>-57855.813735002303</v>
      </c>
      <c r="G40" s="7">
        <f>NPV(0.25,$C38:G38)+$B38</f>
        <v>-23490.805681986909</v>
      </c>
      <c r="H40" s="7">
        <f>NPV(0.25,$C38:H38)+$B38</f>
        <v>-696.29725951439468</v>
      </c>
      <c r="I40" s="7">
        <f>NPV(0.25,$C38:I38)+$B38</f>
        <v>14382.747549305379</v>
      </c>
      <c r="J40" s="7">
        <f>NPV(0.25,$C38:J38)+$B38</f>
        <v>22789.322009091265</v>
      </c>
      <c r="K40" s="7">
        <f>NPV(0.25,$C38:K38)+$B38</f>
        <v>28086.053159689996</v>
      </c>
      <c r="L40" s="7">
        <f>NPV(0.25,$C38:L38)+$B38</f>
        <v>31361.036347822053</v>
      </c>
      <c r="M40" s="7">
        <f>NPV(0.25,$C38:M38)+$B38</f>
        <v>33331.848960031522</v>
      </c>
      <c r="N40" s="7">
        <f>NPV(0.25,$C38:N38)+$B38</f>
        <v>34469.956691638916</v>
      </c>
      <c r="O40" s="7">
        <f>NPV(0.25,$C38:O38)+$B38</f>
        <v>35083.661890135845</v>
      </c>
      <c r="P40" s="7">
        <f>NPV(0.25,$C38:P38)+$B38</f>
        <v>35348.070579335792</v>
      </c>
      <c r="Q40" s="7">
        <f>NPV(0.25,$C38:Q38)+$B38</f>
        <v>35399.356914422358</v>
      </c>
      <c r="R40" s="7">
        <f>NPV(0.25,$C38:R38)+$B38</f>
        <v>35342.689188918681</v>
      </c>
      <c r="S40" s="7">
        <f>NPV(0.25,$C38:S38)+$B38</f>
        <v>35231.920040903497</v>
      </c>
      <c r="T40" s="7">
        <f>NPV(0.25,$C38:T38)+$B38</f>
        <v>35099.477951624081</v>
      </c>
      <c r="U40" s="7">
        <f>NPV(0.25,$C38:U38)+$B38</f>
        <v>34964.170160915935</v>
      </c>
      <c r="V40" s="7">
        <f>NPV(0.25,$C38:V38)+$B38</f>
        <v>34950.776716951863</v>
      </c>
      <c r="W40" s="7">
        <f>NPV(0.25,$C38:W38)+$B38</f>
        <v>34926.893707093317</v>
      </c>
      <c r="X40" s="7">
        <f>NPV(0.25,$C38:X38)+$B38</f>
        <v>34898.967518255115</v>
      </c>
      <c r="Y40" s="7">
        <f>NPV(0.25,$C38:Y38)+$B38</f>
        <v>34870.719289578032</v>
      </c>
      <c r="Z40" s="7">
        <f>NPV(0.25,$C38:Z38)+$B38</f>
        <v>34844.164153870195</v>
      </c>
      <c r="AA40" s="7">
        <f>NPV(0.25,$C38:AA38)+$B38</f>
        <v>34820.270041218377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 case</vt:lpstr>
      <vt:lpstr>no oil</vt:lpstr>
      <vt:lpstr>worst case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Lawrence R. Weatherford</dc:creator>
  <cp:lastModifiedBy>Andy Mai</cp:lastModifiedBy>
  <cp:lastPrinted>2014-03-28T17:50:01Z</cp:lastPrinted>
  <dcterms:created xsi:type="dcterms:W3CDTF">1997-01-24T23:31:29Z</dcterms:created>
  <dcterms:modified xsi:type="dcterms:W3CDTF">2014-10-23T18:24:20Z</dcterms:modified>
</cp:coreProperties>
</file>